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filterPrivacy="1" defaultThemeVersion="124226"/>
  <xr:revisionPtr revIDLastSave="0" documentId="13_ncr:1000001_{D06C065E-2ACD-424E-9210-0B65A4F7E5D8}" xr6:coauthVersionLast="40" xr6:coauthVersionMax="40" xr10:uidLastSave="{00000000-0000-0000-0000-000000000000}"/>
  <bookViews>
    <workbookView xWindow="-105" yWindow="-105" windowWidth="19425" windowHeight="10305" tabRatio="601" firstSheet="10" activeTab="17"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11.F&amp;V Crop Production details" sheetId="81" r:id="rId9"/>
    <sheet name="8.Cash Flow " sheetId="68" r:id="rId10"/>
    <sheet name="9. Financial indiacators" sheetId="29" r:id="rId11"/>
    <sheet name="10.Grain Production details." sheetId="83" r:id="rId12"/>
    <sheet name="12.Facility 1 - Trading" sheetId="55" state="hidden" r:id="rId13"/>
    <sheet name="17.Facility 6 Horti Processing " sheetId="72" state="hidden" r:id="rId14"/>
    <sheet name="14. Facility 3 Warehouse" sheetId="42" state="hidden" r:id="rId15"/>
    <sheet name="15. Facility 4 Custom Hiring" sheetId="48" state="hidden" r:id="rId16"/>
    <sheet name="16.Facility 5 Agri Input" sheetId="53" state="hidden" r:id="rId17"/>
    <sheet name="13.Facility 2 Grain Processing-" sheetId="84" r:id="rId18"/>
    <sheet name="Input Sheet" sheetId="85" r:id="rId19"/>
  </sheets>
  <externalReferences>
    <externalReference r:id="rId20"/>
    <externalReference r:id="rId21"/>
    <externalReference r:id="rId22"/>
    <externalReference r:id="rId23"/>
  </externalReferences>
  <definedNames>
    <definedName name="_xlnm.Print_Area" localSheetId="1">'1.Project Cost and MOF'!$A$1:$G$35</definedName>
    <definedName name="_xlnm.Print_Area" localSheetId="11">'10.Grain Production details.'!$A$1:$H$45</definedName>
    <definedName name="_xlnm.Print_Area" localSheetId="8">'11.F&amp;V Crop Production details'!$A$1:$H$114</definedName>
    <definedName name="_xlnm.Print_Area" localSheetId="12">'12.Facility 1 - Trading'!$A$1:$J$308</definedName>
    <definedName name="_xlnm.Print_Area" localSheetId="17">'13.Facility 2 Grain Processing-'!$A$1:$H$69,'13.Facility 2 Grain Processing-'!$A$125:$J$683,'13.Facility 2 Grain Processing-'!$A$74:$J$121</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3">'17.Facility 6 Horti Processing '!$A$3:$H$184</definedName>
    <definedName name="_xlnm.Print_Area" localSheetId="2">'2.Capex Details'!$A$1:$H$126</definedName>
    <definedName name="_xlnm.Print_Area" localSheetId="3">'3.Other Exp &amp; Taxes'!$A$1:$R$97</definedName>
    <definedName name="_xlnm.Print_Area" localSheetId="4">'4.TL repayment sch'!$A$1:$H$95</definedName>
    <definedName name="_xlnm.Print_Area" localSheetId="5">'5.Closing Stock &amp; W Capital'!$A$1:$L$95</definedName>
    <definedName name="_xlnm.Print_Area" localSheetId="6">'6.Cons Profit &amp; Loss'!$A$1:$I$64</definedName>
    <definedName name="_xlnm.Print_Area" localSheetId="7">'7.Balance Sheet'!$A$1:$I$51</definedName>
    <definedName name="_xlnm.Print_Area" localSheetId="9">'8.Cash Flow '!$A$1:$J$38</definedName>
    <definedName name="_xlnm.Print_Area" localSheetId="10">'9. Financial indiacators'!$B$1:$J$183</definedName>
  </definedNames>
  <calcPr calcId="191028"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5" i="84" l="1"/>
  <c r="B16" i="84"/>
  <c r="B17" i="84"/>
  <c r="C17" i="84"/>
  <c r="D17" i="84"/>
  <c r="E17" i="84"/>
  <c r="F17" i="84"/>
  <c r="G17" i="84"/>
  <c r="H17" i="84"/>
  <c r="D25" i="85"/>
  <c r="E25" i="85"/>
  <c r="F25" i="85"/>
  <c r="G25" i="85"/>
  <c r="H25" i="85"/>
  <c r="I25" i="85"/>
  <c r="H19" i="84"/>
  <c r="H34" i="84"/>
  <c r="H34" i="83"/>
  <c r="G19" i="84"/>
  <c r="G34" i="84"/>
  <c r="G34" i="83"/>
  <c r="F19" i="84"/>
  <c r="F34" i="84"/>
  <c r="F34" i="83"/>
  <c r="E19" i="84"/>
  <c r="E34" i="84"/>
  <c r="E34" i="83"/>
  <c r="D19" i="84"/>
  <c r="D34" i="84"/>
  <c r="D34" i="83"/>
  <c r="C19" i="84"/>
  <c r="C34" i="84"/>
  <c r="C34" i="83"/>
  <c r="H33" i="84"/>
  <c r="H33" i="83"/>
  <c r="G33" i="84"/>
  <c r="G33" i="83"/>
  <c r="F33" i="84"/>
  <c r="F33" i="83"/>
  <c r="E33" i="84"/>
  <c r="E33" i="83"/>
  <c r="D33" i="84"/>
  <c r="D33" i="83"/>
  <c r="C33" i="84"/>
  <c r="C33" i="83"/>
  <c r="H32" i="84"/>
  <c r="H32" i="83"/>
  <c r="G32" i="84"/>
  <c r="G32" i="83"/>
  <c r="F32" i="84"/>
  <c r="F32" i="83"/>
  <c r="E32" i="84"/>
  <c r="E32" i="83"/>
  <c r="D32" i="84"/>
  <c r="D32" i="83"/>
  <c r="C32" i="84"/>
  <c r="C32" i="83"/>
  <c r="B19" i="84"/>
  <c r="B34" i="84"/>
  <c r="B34" i="83"/>
  <c r="B33" i="84"/>
  <c r="B33" i="83"/>
  <c r="B32" i="84"/>
  <c r="B32" i="83"/>
  <c r="C23" i="83"/>
  <c r="D23" i="83"/>
  <c r="E23" i="83"/>
  <c r="F23" i="83"/>
  <c r="G23" i="83"/>
  <c r="H23" i="83"/>
  <c r="C16" i="84"/>
  <c r="D16" i="84"/>
  <c r="E16" i="84"/>
  <c r="F16" i="84"/>
  <c r="G16" i="84"/>
  <c r="H16" i="84"/>
  <c r="D24" i="85"/>
  <c r="E24" i="85"/>
  <c r="F24" i="85"/>
  <c r="G24" i="85"/>
  <c r="H24" i="85"/>
  <c r="I24" i="85"/>
  <c r="H18" i="84"/>
  <c r="H22" i="84"/>
  <c r="P34" i="84"/>
  <c r="G18" i="84"/>
  <c r="G22" i="84"/>
  <c r="O34" i="84"/>
  <c r="F18" i="84"/>
  <c r="F22" i="84"/>
  <c r="N34" i="84"/>
  <c r="P33" i="84"/>
  <c r="O33" i="84"/>
  <c r="N33" i="84"/>
  <c r="P32" i="84"/>
  <c r="O32" i="84"/>
  <c r="N32" i="84"/>
  <c r="E18" i="84"/>
  <c r="E22" i="84"/>
  <c r="M34" i="84"/>
  <c r="M50" i="84"/>
  <c r="M33" i="84"/>
  <c r="M32" i="84"/>
  <c r="M45" i="84"/>
  <c r="M40" i="84"/>
  <c r="E50" i="84"/>
  <c r="S50" i="84"/>
  <c r="E45" i="84"/>
  <c r="S45" i="84"/>
  <c r="E40" i="84"/>
  <c r="S40" i="84"/>
  <c r="B40" i="84"/>
  <c r="B18" i="84"/>
  <c r="B22" i="84"/>
  <c r="J32" i="84"/>
  <c r="J40" i="84"/>
  <c r="P40" i="84"/>
  <c r="B45" i="84"/>
  <c r="J33" i="84"/>
  <c r="J45" i="84"/>
  <c r="P45" i="84"/>
  <c r="B50" i="84"/>
  <c r="J34" i="84"/>
  <c r="J50" i="84"/>
  <c r="P50" i="84"/>
  <c r="P51" i="84"/>
  <c r="O40" i="84"/>
  <c r="O45" i="84"/>
  <c r="O50" i="84"/>
  <c r="D40" i="84"/>
  <c r="D18" i="84"/>
  <c r="D22" i="84"/>
  <c r="L32" i="84"/>
  <c r="L40" i="84"/>
  <c r="R40" i="84"/>
  <c r="D45" i="84"/>
  <c r="L33" i="84"/>
  <c r="L45" i="84"/>
  <c r="R45" i="84"/>
  <c r="D50" i="84"/>
  <c r="L34" i="84"/>
  <c r="L50" i="84"/>
  <c r="R50" i="84"/>
  <c r="R51" i="84"/>
  <c r="C40" i="84"/>
  <c r="C18" i="84"/>
  <c r="C22" i="84"/>
  <c r="K32" i="84"/>
  <c r="K40" i="84"/>
  <c r="Q40" i="84"/>
  <c r="C45" i="84"/>
  <c r="K33" i="84"/>
  <c r="K45" i="84"/>
  <c r="Q45" i="84"/>
  <c r="C50" i="84"/>
  <c r="K34" i="84"/>
  <c r="K50" i="84"/>
  <c r="Q50" i="84"/>
  <c r="Q51" i="84"/>
  <c r="D628" i="84"/>
  <c r="K628" i="84"/>
  <c r="L628" i="84"/>
  <c r="D627" i="84"/>
  <c r="K627" i="84"/>
  <c r="L627" i="84"/>
  <c r="D626" i="84"/>
  <c r="K626" i="84"/>
  <c r="L626" i="84"/>
  <c r="I47" i="84"/>
  <c r="F15" i="83"/>
  <c r="D15" i="83"/>
  <c r="B5" i="83"/>
  <c r="B6" i="83"/>
  <c r="B7" i="83"/>
  <c r="B9" i="83"/>
  <c r="C15" i="83"/>
  <c r="F14" i="83"/>
  <c r="D14" i="83"/>
  <c r="C14" i="83"/>
  <c r="F16" i="83"/>
  <c r="D16" i="83"/>
  <c r="C16" i="83"/>
  <c r="J14" i="83"/>
  <c r="J15" i="83"/>
  <c r="J16" i="83"/>
  <c r="C100" i="81"/>
  <c r="D100" i="81"/>
  <c r="E100" i="81"/>
  <c r="F100" i="81"/>
  <c r="G100" i="81"/>
  <c r="H100" i="81"/>
  <c r="C74" i="81"/>
  <c r="C72" i="81"/>
  <c r="D72" i="81"/>
  <c r="E72" i="81"/>
  <c r="F72" i="81"/>
  <c r="G72" i="81"/>
  <c r="H72" i="81"/>
  <c r="A70" i="81"/>
  <c r="A98" i="81"/>
  <c r="A126" i="81"/>
  <c r="A69" i="81"/>
  <c r="A97" i="81"/>
  <c r="A125" i="81"/>
  <c r="A68" i="81"/>
  <c r="A96" i="81"/>
  <c r="A124" i="81"/>
  <c r="A67" i="81"/>
  <c r="A95" i="81"/>
  <c r="A123" i="81"/>
  <c r="A66" i="81"/>
  <c r="A94" i="81"/>
  <c r="A122" i="81"/>
  <c r="A65" i="81"/>
  <c r="A93" i="81"/>
  <c r="A121" i="81"/>
  <c r="A64" i="81"/>
  <c r="A92" i="81"/>
  <c r="A120" i="81"/>
  <c r="A63" i="81"/>
  <c r="A91" i="81"/>
  <c r="A119" i="81"/>
  <c r="A62" i="81"/>
  <c r="A90" i="81"/>
  <c r="A118" i="81"/>
  <c r="A61" i="81"/>
  <c r="A89" i="81"/>
  <c r="A117" i="81"/>
  <c r="A60" i="81"/>
  <c r="A88" i="81"/>
  <c r="A116" i="81"/>
  <c r="A59" i="81"/>
  <c r="A87" i="81"/>
  <c r="A115" i="81"/>
  <c r="A58" i="81"/>
  <c r="A86" i="81"/>
  <c r="A114" i="81"/>
  <c r="A57" i="81"/>
  <c r="A85" i="81"/>
  <c r="A113" i="81"/>
  <c r="A56" i="81"/>
  <c r="A84" i="81"/>
  <c r="A112" i="81"/>
  <c r="A55" i="81"/>
  <c r="A83" i="81"/>
  <c r="A111" i="81"/>
  <c r="A54" i="81"/>
  <c r="A82" i="81"/>
  <c r="A110" i="81"/>
  <c r="A53" i="81"/>
  <c r="A81" i="81"/>
  <c r="A109" i="81"/>
  <c r="A52" i="81"/>
  <c r="A80" i="81"/>
  <c r="A108" i="81"/>
  <c r="A51" i="81"/>
  <c r="A79" i="81"/>
  <c r="A107" i="81"/>
  <c r="A50" i="81"/>
  <c r="A78" i="81"/>
  <c r="A106" i="81"/>
  <c r="A49" i="81"/>
  <c r="A77" i="81"/>
  <c r="A105" i="81"/>
  <c r="A48" i="81"/>
  <c r="A76" i="81"/>
  <c r="A104" i="81"/>
  <c r="A47" i="81"/>
  <c r="A75" i="81"/>
  <c r="A103" i="81"/>
  <c r="A46" i="81"/>
  <c r="A74" i="81"/>
  <c r="A102" i="81"/>
  <c r="C44" i="81"/>
  <c r="D44" i="81"/>
  <c r="E44" i="81"/>
  <c r="F44" i="81"/>
  <c r="G44" i="81"/>
  <c r="H44" i="81"/>
  <c r="V12" i="81"/>
  <c r="W12" i="81"/>
  <c r="X12" i="81"/>
  <c r="P12" i="81"/>
  <c r="Q12" i="81"/>
  <c r="R12" i="81"/>
  <c r="S12" i="81"/>
  <c r="T12" i="81"/>
  <c r="K12" i="81"/>
  <c r="L12" i="81"/>
  <c r="M12" i="81"/>
  <c r="N12" i="81"/>
  <c r="B7" i="81"/>
  <c r="B9" i="81"/>
  <c r="D37" i="81"/>
  <c r="D21" i="81"/>
  <c r="D17" i="81"/>
  <c r="D38" i="81"/>
  <c r="C32" i="81"/>
  <c r="D22" i="81"/>
  <c r="D18" i="81"/>
  <c r="D39" i="81"/>
  <c r="C23" i="81"/>
  <c r="D19" i="81"/>
  <c r="D15" i="81"/>
  <c r="D14" i="81"/>
  <c r="D40" i="81"/>
  <c r="D20" i="81"/>
  <c r="D16" i="81"/>
  <c r="B102" i="81"/>
  <c r="C102" i="81"/>
  <c r="D102" i="81"/>
  <c r="E102" i="81"/>
  <c r="F102" i="81"/>
  <c r="G102" i="81"/>
  <c r="H102" i="81"/>
  <c r="M14" i="81"/>
  <c r="G74" i="81"/>
  <c r="L14" i="81"/>
  <c r="F74" i="81"/>
  <c r="F14" i="81"/>
  <c r="H14" i="81"/>
  <c r="K14" i="81"/>
  <c r="E74" i="81"/>
  <c r="N14" i="81"/>
  <c r="H74" i="81"/>
  <c r="J14" i="81"/>
  <c r="D74" i="81"/>
  <c r="B125" i="81"/>
  <c r="C125" i="81"/>
  <c r="D125" i="81"/>
  <c r="E125" i="81"/>
  <c r="F125" i="81"/>
  <c r="G125" i="81"/>
  <c r="H125" i="81"/>
  <c r="F39" i="81"/>
  <c r="H39" i="81"/>
  <c r="B124" i="81"/>
  <c r="C124" i="81"/>
  <c r="D124" i="81"/>
  <c r="E124" i="81"/>
  <c r="F124" i="81"/>
  <c r="G124" i="81"/>
  <c r="H124" i="81"/>
  <c r="F38" i="81"/>
  <c r="H38" i="81"/>
  <c r="B104" i="81"/>
  <c r="C104" i="81"/>
  <c r="D104" i="81"/>
  <c r="E104" i="81"/>
  <c r="F104" i="81"/>
  <c r="G104" i="81"/>
  <c r="H104" i="81"/>
  <c r="F16" i="81"/>
  <c r="H16" i="81"/>
  <c r="B103" i="81"/>
  <c r="C103" i="81"/>
  <c r="D103" i="81"/>
  <c r="E103" i="81"/>
  <c r="F103" i="81"/>
  <c r="G103" i="81"/>
  <c r="H103" i="81"/>
  <c r="F15" i="81"/>
  <c r="H15" i="81"/>
  <c r="B106" i="81"/>
  <c r="C106" i="81"/>
  <c r="D106" i="81"/>
  <c r="E106" i="81"/>
  <c r="F106" i="81"/>
  <c r="G106" i="81"/>
  <c r="H106" i="81"/>
  <c r="F18" i="81"/>
  <c r="H18" i="81"/>
  <c r="B105" i="81"/>
  <c r="C105" i="81"/>
  <c r="D105" i="81"/>
  <c r="E105" i="81"/>
  <c r="F105" i="81"/>
  <c r="G105" i="81"/>
  <c r="H105" i="81"/>
  <c r="F17" i="81"/>
  <c r="H17" i="81"/>
  <c r="B108" i="81"/>
  <c r="C108" i="81"/>
  <c r="D108" i="81"/>
  <c r="E108" i="81"/>
  <c r="F108" i="81"/>
  <c r="G108" i="81"/>
  <c r="H108" i="81"/>
  <c r="F20" i="81"/>
  <c r="H20" i="81"/>
  <c r="B107" i="81"/>
  <c r="C107" i="81"/>
  <c r="D107" i="81"/>
  <c r="E107" i="81"/>
  <c r="F107" i="81"/>
  <c r="G107" i="81"/>
  <c r="H107" i="81"/>
  <c r="F19" i="81"/>
  <c r="H19" i="81"/>
  <c r="B110" i="81"/>
  <c r="C110" i="81"/>
  <c r="D110" i="81"/>
  <c r="E110" i="81"/>
  <c r="F110" i="81"/>
  <c r="G110" i="81"/>
  <c r="H110" i="81"/>
  <c r="F22" i="81"/>
  <c r="H22" i="81"/>
  <c r="B109" i="81"/>
  <c r="C109" i="81"/>
  <c r="D109" i="81"/>
  <c r="E109" i="81"/>
  <c r="F109" i="81"/>
  <c r="G109" i="81"/>
  <c r="H109" i="81"/>
  <c r="F21" i="81"/>
  <c r="H21" i="81"/>
  <c r="B126" i="81"/>
  <c r="C126" i="81"/>
  <c r="D126" i="81"/>
  <c r="E126" i="81"/>
  <c r="F126" i="81"/>
  <c r="G126" i="81"/>
  <c r="H126" i="81"/>
  <c r="F40" i="81"/>
  <c r="H40" i="81"/>
  <c r="D31" i="81"/>
  <c r="D27" i="81"/>
  <c r="D28" i="81"/>
  <c r="D24" i="81"/>
  <c r="D29" i="81"/>
  <c r="D25" i="81"/>
  <c r="D30" i="81"/>
  <c r="D26" i="81"/>
  <c r="D33" i="81"/>
  <c r="D34" i="81"/>
  <c r="D35" i="81"/>
  <c r="D36" i="81"/>
  <c r="B123" i="81"/>
  <c r="C123" i="81"/>
  <c r="D123" i="81"/>
  <c r="E123" i="81"/>
  <c r="F123" i="81"/>
  <c r="G123" i="81"/>
  <c r="H123" i="81"/>
  <c r="F37" i="81"/>
  <c r="H37" i="81"/>
  <c r="B121" i="81"/>
  <c r="C121" i="81"/>
  <c r="D121" i="81"/>
  <c r="E121" i="81"/>
  <c r="F121" i="81"/>
  <c r="G121" i="81"/>
  <c r="H121" i="81"/>
  <c r="F35" i="81"/>
  <c r="H35" i="81"/>
  <c r="B117" i="81"/>
  <c r="C117" i="81"/>
  <c r="D117" i="81"/>
  <c r="E117" i="81"/>
  <c r="F117" i="81"/>
  <c r="G117" i="81"/>
  <c r="H117" i="81"/>
  <c r="F30" i="81"/>
  <c r="H30" i="81"/>
  <c r="B115" i="81"/>
  <c r="C115" i="81"/>
  <c r="D115" i="81"/>
  <c r="E115" i="81"/>
  <c r="F115" i="81"/>
  <c r="G115" i="81"/>
  <c r="H115" i="81"/>
  <c r="F28" i="81"/>
  <c r="H28" i="81"/>
  <c r="B74" i="81"/>
  <c r="B46" i="81"/>
  <c r="C46" i="81"/>
  <c r="D46" i="81"/>
  <c r="E46" i="81"/>
  <c r="F46" i="81"/>
  <c r="G46" i="81"/>
  <c r="H46" i="81"/>
  <c r="B95" i="81"/>
  <c r="C95" i="81"/>
  <c r="D95" i="81"/>
  <c r="E95" i="81"/>
  <c r="F95" i="81"/>
  <c r="G95" i="81"/>
  <c r="H95" i="81"/>
  <c r="B67" i="81"/>
  <c r="C67" i="81"/>
  <c r="D67" i="81"/>
  <c r="E67" i="81"/>
  <c r="F67" i="81"/>
  <c r="G67" i="81"/>
  <c r="H67" i="81"/>
  <c r="B120" i="81"/>
  <c r="C120" i="81"/>
  <c r="D120" i="81"/>
  <c r="E120" i="81"/>
  <c r="F120" i="81"/>
  <c r="G120" i="81"/>
  <c r="H120" i="81"/>
  <c r="F34" i="81"/>
  <c r="H34" i="81"/>
  <c r="B112" i="81"/>
  <c r="C112" i="81"/>
  <c r="D112" i="81"/>
  <c r="E112" i="81"/>
  <c r="F112" i="81"/>
  <c r="G112" i="81"/>
  <c r="H112" i="81"/>
  <c r="F25" i="81"/>
  <c r="H25" i="81"/>
  <c r="B114" i="81"/>
  <c r="C114" i="81"/>
  <c r="D114" i="81"/>
  <c r="E114" i="81"/>
  <c r="F114" i="81"/>
  <c r="G114" i="81"/>
  <c r="H114" i="81"/>
  <c r="F27" i="81"/>
  <c r="H27" i="81"/>
  <c r="B81" i="81"/>
  <c r="C81" i="81"/>
  <c r="D81" i="81"/>
  <c r="E81" i="81"/>
  <c r="F81" i="81"/>
  <c r="G81" i="81"/>
  <c r="H81" i="81"/>
  <c r="B53" i="81"/>
  <c r="C53" i="81"/>
  <c r="D53" i="81"/>
  <c r="E53" i="81"/>
  <c r="F53" i="81"/>
  <c r="G53" i="81"/>
  <c r="H53" i="81"/>
  <c r="B79" i="81"/>
  <c r="C79" i="81"/>
  <c r="D79" i="81"/>
  <c r="E79" i="81"/>
  <c r="F79" i="81"/>
  <c r="G79" i="81"/>
  <c r="H79" i="81"/>
  <c r="B51" i="81"/>
  <c r="C51" i="81"/>
  <c r="D51" i="81"/>
  <c r="E51" i="81"/>
  <c r="F51" i="81"/>
  <c r="G51" i="81"/>
  <c r="H51" i="81"/>
  <c r="B77" i="81"/>
  <c r="C77" i="81"/>
  <c r="D77" i="81"/>
  <c r="E77" i="81"/>
  <c r="F77" i="81"/>
  <c r="G77" i="81"/>
  <c r="H77" i="81"/>
  <c r="B49" i="81"/>
  <c r="C49" i="81"/>
  <c r="D49" i="81"/>
  <c r="E49" i="81"/>
  <c r="F49" i="81"/>
  <c r="G49" i="81"/>
  <c r="H49" i="81"/>
  <c r="B75" i="81"/>
  <c r="C75" i="81"/>
  <c r="D75" i="81"/>
  <c r="E75" i="81"/>
  <c r="F75" i="81"/>
  <c r="G75" i="81"/>
  <c r="H75" i="81"/>
  <c r="B47" i="81"/>
  <c r="C47" i="81"/>
  <c r="D47" i="81"/>
  <c r="E47" i="81"/>
  <c r="F47" i="81"/>
  <c r="G47" i="81"/>
  <c r="H47" i="81"/>
  <c r="B96" i="81"/>
  <c r="C96" i="81"/>
  <c r="D96" i="81"/>
  <c r="E96" i="81"/>
  <c r="F96" i="81"/>
  <c r="G96" i="81"/>
  <c r="H96" i="81"/>
  <c r="B68" i="81"/>
  <c r="C68" i="81"/>
  <c r="D68" i="81"/>
  <c r="E68" i="81"/>
  <c r="F68" i="81"/>
  <c r="G68" i="81"/>
  <c r="H68" i="81"/>
  <c r="B119" i="81"/>
  <c r="C119" i="81"/>
  <c r="D119" i="81"/>
  <c r="E119" i="81"/>
  <c r="F119" i="81"/>
  <c r="G119" i="81"/>
  <c r="H119" i="81"/>
  <c r="F33" i="81"/>
  <c r="H33" i="81"/>
  <c r="B116" i="81"/>
  <c r="C116" i="81"/>
  <c r="D116" i="81"/>
  <c r="E116" i="81"/>
  <c r="F116" i="81"/>
  <c r="G116" i="81"/>
  <c r="H116" i="81"/>
  <c r="F29" i="81"/>
  <c r="H29" i="81"/>
  <c r="B118" i="81"/>
  <c r="C118" i="81"/>
  <c r="D118" i="81"/>
  <c r="E118" i="81"/>
  <c r="F118" i="81"/>
  <c r="G118" i="81"/>
  <c r="H118" i="81"/>
  <c r="F31" i="81"/>
  <c r="H31" i="81"/>
  <c r="B122" i="81"/>
  <c r="C122" i="81"/>
  <c r="D122" i="81"/>
  <c r="E122" i="81"/>
  <c r="F122" i="81"/>
  <c r="G122" i="81"/>
  <c r="H122" i="81"/>
  <c r="F36" i="81"/>
  <c r="H36" i="81"/>
  <c r="B113" i="81"/>
  <c r="C113" i="81"/>
  <c r="D113" i="81"/>
  <c r="E113" i="81"/>
  <c r="F113" i="81"/>
  <c r="G113" i="81"/>
  <c r="H113" i="81"/>
  <c r="F26" i="81"/>
  <c r="H26" i="81"/>
  <c r="B111" i="81"/>
  <c r="C111" i="81"/>
  <c r="D111" i="81"/>
  <c r="E111" i="81"/>
  <c r="F111" i="81"/>
  <c r="G111" i="81"/>
  <c r="H111" i="81"/>
  <c r="F24" i="81"/>
  <c r="H24" i="81"/>
  <c r="B98" i="81"/>
  <c r="C98" i="81"/>
  <c r="D98" i="81"/>
  <c r="E98" i="81"/>
  <c r="F98" i="81"/>
  <c r="G98" i="81"/>
  <c r="H98" i="81"/>
  <c r="B70" i="81"/>
  <c r="C70" i="81"/>
  <c r="D70" i="81"/>
  <c r="E70" i="81"/>
  <c r="F70" i="81"/>
  <c r="G70" i="81"/>
  <c r="H70" i="81"/>
  <c r="B82" i="81"/>
  <c r="C82" i="81"/>
  <c r="D82" i="81"/>
  <c r="E82" i="81"/>
  <c r="F82" i="81"/>
  <c r="G82" i="81"/>
  <c r="H82" i="81"/>
  <c r="B54" i="81"/>
  <c r="C54" i="81"/>
  <c r="D54" i="81"/>
  <c r="E54" i="81"/>
  <c r="F54" i="81"/>
  <c r="G54" i="81"/>
  <c r="H54" i="81"/>
  <c r="B80" i="81"/>
  <c r="C80" i="81"/>
  <c r="D80" i="81"/>
  <c r="E80" i="81"/>
  <c r="F80" i="81"/>
  <c r="G80" i="81"/>
  <c r="H80" i="81"/>
  <c r="B52" i="81"/>
  <c r="C52" i="81"/>
  <c r="D52" i="81"/>
  <c r="E52" i="81"/>
  <c r="F52" i="81"/>
  <c r="G52" i="81"/>
  <c r="H52" i="81"/>
  <c r="B78" i="81"/>
  <c r="C78" i="81"/>
  <c r="D78" i="81"/>
  <c r="E78" i="81"/>
  <c r="F78" i="81"/>
  <c r="G78" i="81"/>
  <c r="H78" i="81"/>
  <c r="B50" i="81"/>
  <c r="C50" i="81"/>
  <c r="D50" i="81"/>
  <c r="E50" i="81"/>
  <c r="F50" i="81"/>
  <c r="G50" i="81"/>
  <c r="H50" i="81"/>
  <c r="B76" i="81"/>
  <c r="C76" i="81"/>
  <c r="D76" i="81"/>
  <c r="E76" i="81"/>
  <c r="F76" i="81"/>
  <c r="G76" i="81"/>
  <c r="H76" i="81"/>
  <c r="B48" i="81"/>
  <c r="C48" i="81"/>
  <c r="D48" i="81"/>
  <c r="E48" i="81"/>
  <c r="F48" i="81"/>
  <c r="G48" i="81"/>
  <c r="H48" i="81"/>
  <c r="B97" i="81"/>
  <c r="C97" i="81"/>
  <c r="D97" i="81"/>
  <c r="E97" i="81"/>
  <c r="F97" i="81"/>
  <c r="G97" i="81"/>
  <c r="H97" i="81"/>
  <c r="B69" i="81"/>
  <c r="C69" i="81"/>
  <c r="D69" i="81"/>
  <c r="E69" i="81"/>
  <c r="F69" i="81"/>
  <c r="G69" i="81"/>
  <c r="H69" i="81"/>
  <c r="B85" i="81"/>
  <c r="C85" i="81"/>
  <c r="D85" i="81"/>
  <c r="E85" i="81"/>
  <c r="F85" i="81"/>
  <c r="G85" i="81"/>
  <c r="H85" i="81"/>
  <c r="B57" i="81"/>
  <c r="C57" i="81"/>
  <c r="D57" i="81"/>
  <c r="E57" i="81"/>
  <c r="F57" i="81"/>
  <c r="G57" i="81"/>
  <c r="H57" i="81"/>
  <c r="B90" i="81"/>
  <c r="C90" i="81"/>
  <c r="D90" i="81"/>
  <c r="E90" i="81"/>
  <c r="F90" i="81"/>
  <c r="G90" i="81"/>
  <c r="H90" i="81"/>
  <c r="B62" i="81"/>
  <c r="C62" i="81"/>
  <c r="D62" i="81"/>
  <c r="E62" i="81"/>
  <c r="F62" i="81"/>
  <c r="G62" i="81"/>
  <c r="H62" i="81"/>
  <c r="B91" i="81"/>
  <c r="C91" i="81"/>
  <c r="D91" i="81"/>
  <c r="E91" i="81"/>
  <c r="F91" i="81"/>
  <c r="G91" i="81"/>
  <c r="H91" i="81"/>
  <c r="B63" i="81"/>
  <c r="C63" i="81"/>
  <c r="D63" i="81"/>
  <c r="E63" i="81"/>
  <c r="F63" i="81"/>
  <c r="G63" i="81"/>
  <c r="H63" i="81"/>
  <c r="B86" i="81"/>
  <c r="C86" i="81"/>
  <c r="D86" i="81"/>
  <c r="E86" i="81"/>
  <c r="F86" i="81"/>
  <c r="G86" i="81"/>
  <c r="H86" i="81"/>
  <c r="B58" i="81"/>
  <c r="C58" i="81"/>
  <c r="D58" i="81"/>
  <c r="E58" i="81"/>
  <c r="F58" i="81"/>
  <c r="G58" i="81"/>
  <c r="H58" i="81"/>
  <c r="B92" i="81"/>
  <c r="C92" i="81"/>
  <c r="D92" i="81"/>
  <c r="E92" i="81"/>
  <c r="F92" i="81"/>
  <c r="G92" i="81"/>
  <c r="B64" i="81"/>
  <c r="C64" i="81"/>
  <c r="D64" i="81"/>
  <c r="E64" i="81"/>
  <c r="F64" i="81"/>
  <c r="G64" i="81"/>
  <c r="H64" i="81"/>
  <c r="B89" i="81"/>
  <c r="C89" i="81"/>
  <c r="D89" i="81"/>
  <c r="E89" i="81"/>
  <c r="F89" i="81"/>
  <c r="G89" i="81"/>
  <c r="H89" i="81"/>
  <c r="B61" i="81"/>
  <c r="C61" i="81"/>
  <c r="D61" i="81"/>
  <c r="E61" i="81"/>
  <c r="F61" i="81"/>
  <c r="G61" i="81"/>
  <c r="H61" i="81"/>
  <c r="B83" i="81"/>
  <c r="C83" i="81"/>
  <c r="D83" i="81"/>
  <c r="E83" i="81"/>
  <c r="F83" i="81"/>
  <c r="G83" i="81"/>
  <c r="H83" i="81"/>
  <c r="B55" i="81"/>
  <c r="C55" i="81"/>
  <c r="D55" i="81"/>
  <c r="E55" i="81"/>
  <c r="F55" i="81"/>
  <c r="G55" i="81"/>
  <c r="H55" i="81"/>
  <c r="B94" i="81"/>
  <c r="C94" i="81"/>
  <c r="D94" i="81"/>
  <c r="E94" i="81"/>
  <c r="F94" i="81"/>
  <c r="G94" i="81"/>
  <c r="B66" i="81"/>
  <c r="C66" i="81"/>
  <c r="D66" i="81"/>
  <c r="E66" i="81"/>
  <c r="F66" i="81"/>
  <c r="G66" i="81"/>
  <c r="H66" i="81"/>
  <c r="B88" i="81"/>
  <c r="C88" i="81"/>
  <c r="D88" i="81"/>
  <c r="E88" i="81"/>
  <c r="F88" i="81"/>
  <c r="G88" i="81"/>
  <c r="H88" i="81"/>
  <c r="B60" i="81"/>
  <c r="C60" i="81"/>
  <c r="D60" i="81"/>
  <c r="E60" i="81"/>
  <c r="F60" i="81"/>
  <c r="G60" i="81"/>
  <c r="H60" i="81"/>
  <c r="B84" i="81"/>
  <c r="C84" i="81"/>
  <c r="D84" i="81"/>
  <c r="E84" i="81"/>
  <c r="F84" i="81"/>
  <c r="G84" i="81"/>
  <c r="H84" i="81"/>
  <c r="B56" i="81"/>
  <c r="C56" i="81"/>
  <c r="D56" i="81"/>
  <c r="E56" i="81"/>
  <c r="F56" i="81"/>
  <c r="G56" i="81"/>
  <c r="H56" i="81"/>
  <c r="B87" i="81"/>
  <c r="C87" i="81"/>
  <c r="D87" i="81"/>
  <c r="E87" i="81"/>
  <c r="F87" i="81"/>
  <c r="G87" i="81"/>
  <c r="H87" i="81"/>
  <c r="B59" i="81"/>
  <c r="C59" i="81"/>
  <c r="D59" i="81"/>
  <c r="E59" i="81"/>
  <c r="F59" i="81"/>
  <c r="G59" i="81"/>
  <c r="H59" i="81"/>
  <c r="B93" i="81"/>
  <c r="C93" i="81"/>
  <c r="D93" i="81"/>
  <c r="E93" i="81"/>
  <c r="F93" i="81"/>
  <c r="G93" i="81"/>
  <c r="B65" i="81"/>
  <c r="C65" i="81"/>
  <c r="D65" i="81"/>
  <c r="E65" i="81"/>
  <c r="F65" i="81"/>
  <c r="G65" i="81"/>
  <c r="H65" i="81"/>
  <c r="F7" i="57"/>
  <c r="G58" i="57"/>
  <c r="G59" i="57"/>
  <c r="G60" i="57"/>
  <c r="G61" i="57"/>
  <c r="G62" i="57"/>
  <c r="G63" i="57"/>
  <c r="G65" i="57"/>
  <c r="O9" i="62"/>
  <c r="O8" i="62"/>
  <c r="N39" i="62"/>
  <c r="M39" i="62"/>
  <c r="D41" i="83"/>
  <c r="E41" i="83"/>
  <c r="F41" i="83"/>
  <c r="G41" i="83"/>
  <c r="H41" i="83"/>
  <c r="B35" i="83"/>
  <c r="A35" i="83"/>
  <c r="A32" i="83"/>
  <c r="A27" i="83"/>
  <c r="A34" i="83"/>
  <c r="A26" i="83"/>
  <c r="A33" i="83"/>
  <c r="A41" i="83"/>
  <c r="A25" i="83"/>
  <c r="J18" i="83"/>
  <c r="D17" i="83"/>
  <c r="F17" i="83"/>
  <c r="H17" i="83"/>
  <c r="D18" i="83"/>
  <c r="F18" i="83"/>
  <c r="H18" i="83"/>
  <c r="H193" i="85"/>
  <c r="F6" i="57"/>
  <c r="A39" i="69"/>
  <c r="B8" i="68"/>
  <c r="K43" i="69"/>
  <c r="K41" i="69"/>
  <c r="K37" i="69"/>
  <c r="K36" i="69"/>
  <c r="K33" i="69"/>
  <c r="K31" i="69"/>
  <c r="K30" i="69"/>
  <c r="K27" i="69"/>
  <c r="K24" i="69"/>
  <c r="K23" i="69"/>
  <c r="K22" i="69"/>
  <c r="K20" i="69"/>
  <c r="K17" i="69"/>
  <c r="K13" i="69"/>
  <c r="D633" i="84"/>
  <c r="D643" i="84"/>
  <c r="D650" i="84"/>
  <c r="C368" i="84"/>
  <c r="C370" i="84"/>
  <c r="C400" i="84"/>
  <c r="C410" i="84"/>
  <c r="D655" i="84"/>
  <c r="C374" i="84"/>
  <c r="C376" i="84"/>
  <c r="C401" i="84"/>
  <c r="C411" i="84"/>
  <c r="D637" i="84"/>
  <c r="D667" i="84"/>
  <c r="D673" i="84"/>
  <c r="C380" i="84"/>
  <c r="C382" i="84"/>
  <c r="C117" i="85"/>
  <c r="C402" i="84"/>
  <c r="C412" i="84"/>
  <c r="D678" i="84"/>
  <c r="C386" i="84"/>
  <c r="C388" i="84"/>
  <c r="C403" i="84"/>
  <c r="C413" i="84"/>
  <c r="C409" i="84"/>
  <c r="D631" i="84"/>
  <c r="D641" i="84"/>
  <c r="D648" i="84"/>
  <c r="C245" i="84"/>
  <c r="C244" i="84"/>
  <c r="C247" i="84"/>
  <c r="C283" i="84"/>
  <c r="C294" i="84"/>
  <c r="D653" i="84"/>
  <c r="C251" i="84"/>
  <c r="C250" i="84"/>
  <c r="C253" i="84"/>
  <c r="C93" i="85"/>
  <c r="C284" i="84"/>
  <c r="C295" i="84"/>
  <c r="D635" i="84"/>
  <c r="D665" i="84"/>
  <c r="D671" i="84"/>
  <c r="C257" i="84"/>
  <c r="C256" i="84"/>
  <c r="C259" i="84"/>
  <c r="C94" i="85"/>
  <c r="C285" i="84"/>
  <c r="C296" i="84"/>
  <c r="D676" i="84"/>
  <c r="C263" i="84"/>
  <c r="C262" i="84"/>
  <c r="C265" i="84"/>
  <c r="C286" i="84"/>
  <c r="C297" i="84"/>
  <c r="C293" i="84"/>
  <c r="D632" i="84"/>
  <c r="D642" i="84"/>
  <c r="D649" i="84"/>
  <c r="C313" i="84"/>
  <c r="C312" i="84"/>
  <c r="C315" i="84"/>
  <c r="C346" i="84"/>
  <c r="C354" i="84"/>
  <c r="D654" i="84"/>
  <c r="C319" i="84"/>
  <c r="C318" i="84"/>
  <c r="C321" i="84"/>
  <c r="C347" i="84"/>
  <c r="C355" i="84"/>
  <c r="D636" i="84"/>
  <c r="D666" i="84"/>
  <c r="D672" i="84"/>
  <c r="C325" i="84"/>
  <c r="C324" i="84"/>
  <c r="C327" i="84"/>
  <c r="C105" i="85"/>
  <c r="C348" i="84"/>
  <c r="C356" i="84"/>
  <c r="D677" i="84"/>
  <c r="C331" i="84"/>
  <c r="C330" i="84"/>
  <c r="C333" i="84"/>
  <c r="C349" i="84"/>
  <c r="C357" i="84"/>
  <c r="C353" i="84"/>
  <c r="I35" i="84"/>
  <c r="B35" i="84"/>
  <c r="I55" i="84"/>
  <c r="B55" i="84"/>
  <c r="C418" i="84"/>
  <c r="C417" i="84"/>
  <c r="C420" i="84"/>
  <c r="C435" i="84"/>
  <c r="C441" i="84"/>
  <c r="I36" i="84"/>
  <c r="B36" i="84"/>
  <c r="I60" i="84"/>
  <c r="B60" i="84"/>
  <c r="C454" i="84"/>
  <c r="C453" i="84"/>
  <c r="C456" i="84"/>
  <c r="C465" i="84"/>
  <c r="C470" i="84"/>
  <c r="C288" i="84"/>
  <c r="C301" i="84"/>
  <c r="C289" i="84"/>
  <c r="C305" i="84"/>
  <c r="C361" i="84"/>
  <c r="C436" i="84"/>
  <c r="C445" i="84"/>
  <c r="C437" i="84"/>
  <c r="C449" i="84"/>
  <c r="C480" i="84"/>
  <c r="B64" i="84"/>
  <c r="B67" i="84"/>
  <c r="B546" i="84"/>
  <c r="B547" i="84"/>
  <c r="B550" i="84"/>
  <c r="B554" i="84"/>
  <c r="B559" i="84"/>
  <c r="B560" i="84"/>
  <c r="B563" i="84"/>
  <c r="B566" i="84"/>
  <c r="B571" i="84"/>
  <c r="B572" i="84"/>
  <c r="B575" i="84"/>
  <c r="B578" i="84"/>
  <c r="B583" i="84"/>
  <c r="B584" i="84"/>
  <c r="B587" i="84"/>
  <c r="B590" i="84"/>
  <c r="B595" i="84"/>
  <c r="B596" i="84"/>
  <c r="B599" i="84"/>
  <c r="B602" i="84"/>
  <c r="B605" i="84"/>
  <c r="E18" i="61"/>
  <c r="B34" i="72"/>
  <c r="B41" i="72"/>
  <c r="B62" i="72"/>
  <c r="B124" i="72"/>
  <c r="B141" i="72"/>
  <c r="D154" i="72"/>
  <c r="B125" i="72"/>
  <c r="B142" i="72"/>
  <c r="D155" i="72"/>
  <c r="B126" i="72"/>
  <c r="B143" i="72"/>
  <c r="D156" i="72"/>
  <c r="D159" i="72"/>
  <c r="E17" i="61"/>
  <c r="E21" i="61"/>
  <c r="E42" i="61"/>
  <c r="B11" i="69"/>
  <c r="K11" i="69"/>
  <c r="K10" i="69"/>
  <c r="C369" i="84"/>
  <c r="C192" i="84"/>
  <c r="C193" i="84"/>
  <c r="C194" i="84"/>
  <c r="C375" i="84"/>
  <c r="C196" i="84"/>
  <c r="C197" i="84"/>
  <c r="C198" i="84"/>
  <c r="C387" i="84"/>
  <c r="C204" i="84"/>
  <c r="C205" i="84"/>
  <c r="C206" i="84"/>
  <c r="C326" i="84"/>
  <c r="C200" i="84"/>
  <c r="C201" i="84"/>
  <c r="C202" i="84"/>
  <c r="C190" i="84"/>
  <c r="B51" i="84"/>
  <c r="B29" i="84"/>
  <c r="C392" i="84"/>
  <c r="C393" i="84"/>
  <c r="C209" i="84"/>
  <c r="C210" i="84"/>
  <c r="C211" i="84"/>
  <c r="C246" i="84"/>
  <c r="C135" i="84"/>
  <c r="C136" i="84"/>
  <c r="C137" i="84"/>
  <c r="C252" i="84"/>
  <c r="C139" i="84"/>
  <c r="C140" i="84"/>
  <c r="C141" i="84"/>
  <c r="C258" i="84"/>
  <c r="C143" i="84"/>
  <c r="C144" i="84"/>
  <c r="C145" i="84"/>
  <c r="C264" i="84"/>
  <c r="C147" i="84"/>
  <c r="C148" i="84"/>
  <c r="C149" i="84"/>
  <c r="C133" i="84"/>
  <c r="B41" i="84"/>
  <c r="B27" i="84"/>
  <c r="C270" i="84"/>
  <c r="C269" i="84"/>
  <c r="C271" i="84"/>
  <c r="C152" i="84"/>
  <c r="C153" i="84"/>
  <c r="C154" i="84"/>
  <c r="I42" i="84"/>
  <c r="B42" i="84"/>
  <c r="C276" i="84"/>
  <c r="C275" i="84"/>
  <c r="C277" i="84"/>
  <c r="C156" i="84"/>
  <c r="C157" i="84"/>
  <c r="C158" i="84"/>
  <c r="C174" i="84"/>
  <c r="C175" i="84"/>
  <c r="C176" i="84"/>
  <c r="C314" i="84"/>
  <c r="C166" i="84"/>
  <c r="C167" i="84"/>
  <c r="C168" i="84"/>
  <c r="C320" i="84"/>
  <c r="C170" i="84"/>
  <c r="C171" i="84"/>
  <c r="C172" i="84"/>
  <c r="C332" i="84"/>
  <c r="C178" i="84"/>
  <c r="C179" i="84"/>
  <c r="C180" i="84"/>
  <c r="C164" i="84"/>
  <c r="B46" i="84"/>
  <c r="B28" i="84"/>
  <c r="C338" i="84"/>
  <c r="C337" i="84"/>
  <c r="C339" i="84"/>
  <c r="C183" i="84"/>
  <c r="C184" i="84"/>
  <c r="C185" i="84"/>
  <c r="C419" i="84"/>
  <c r="C215" i="84"/>
  <c r="C216" i="84"/>
  <c r="C217" i="84"/>
  <c r="I56" i="84"/>
  <c r="B56" i="84"/>
  <c r="C424" i="84"/>
  <c r="C423" i="84"/>
  <c r="C425" i="84"/>
  <c r="C219" i="84"/>
  <c r="C220" i="84"/>
  <c r="C221" i="84"/>
  <c r="I57" i="84"/>
  <c r="B57" i="84"/>
  <c r="C430" i="84"/>
  <c r="C429" i="84"/>
  <c r="C431" i="84"/>
  <c r="C223" i="84"/>
  <c r="C224" i="84"/>
  <c r="C225" i="84"/>
  <c r="C455" i="84"/>
  <c r="C228" i="84"/>
  <c r="C229" i="84"/>
  <c r="C230" i="84"/>
  <c r="I61" i="84"/>
  <c r="B61" i="84"/>
  <c r="C460" i="84"/>
  <c r="C459" i="84"/>
  <c r="C461" i="84"/>
  <c r="C232" i="84"/>
  <c r="C466" i="84"/>
  <c r="C233" i="84"/>
  <c r="C234" i="84"/>
  <c r="C237" i="84"/>
  <c r="D82" i="84"/>
  <c r="B66" i="84"/>
  <c r="B69" i="84"/>
  <c r="C612" i="84"/>
  <c r="C611" i="84"/>
  <c r="C613" i="84"/>
  <c r="C614" i="84"/>
  <c r="C617" i="84"/>
  <c r="C618" i="84"/>
  <c r="C619" i="84"/>
  <c r="C621" i="84"/>
  <c r="D84" i="84"/>
  <c r="B23" i="84"/>
  <c r="C81" i="84"/>
  <c r="D81" i="84"/>
  <c r="D86" i="84"/>
  <c r="E39" i="61"/>
  <c r="F8" i="48"/>
  <c r="H8" i="48"/>
  <c r="C28" i="48"/>
  <c r="D28" i="48"/>
  <c r="E28" i="48"/>
  <c r="F9" i="48"/>
  <c r="H9" i="48"/>
  <c r="C29" i="48"/>
  <c r="D29" i="48"/>
  <c r="E29" i="48"/>
  <c r="F10" i="48"/>
  <c r="H10" i="48"/>
  <c r="C30" i="48"/>
  <c r="D30" i="48"/>
  <c r="E30" i="48"/>
  <c r="F11" i="48"/>
  <c r="H11" i="48"/>
  <c r="C31" i="48"/>
  <c r="D31" i="48"/>
  <c r="E31" i="48"/>
  <c r="F12" i="48"/>
  <c r="H12" i="48"/>
  <c r="C32" i="48"/>
  <c r="D32" i="48"/>
  <c r="E32" i="48"/>
  <c r="C33" i="48"/>
  <c r="D33" i="48"/>
  <c r="E33" i="48"/>
  <c r="C34" i="48"/>
  <c r="D34" i="48"/>
  <c r="E34" i="48"/>
  <c r="C35" i="48"/>
  <c r="D35" i="48"/>
  <c r="E35" i="48"/>
  <c r="C36" i="48"/>
  <c r="D36" i="48"/>
  <c r="E36" i="48"/>
  <c r="C37" i="48"/>
  <c r="D37" i="48"/>
  <c r="E37" i="48"/>
  <c r="C38" i="48"/>
  <c r="D38" i="48"/>
  <c r="E38" i="48"/>
  <c r="E39" i="48"/>
  <c r="E35" i="61"/>
  <c r="E37" i="61"/>
  <c r="B10" i="42"/>
  <c r="D21" i="42"/>
  <c r="D23" i="42"/>
  <c r="E38" i="61"/>
  <c r="E40" i="61"/>
  <c r="B9" i="69"/>
  <c r="K9" i="69"/>
  <c r="Q85" i="22"/>
  <c r="I391" i="84"/>
  <c r="H391" i="84"/>
  <c r="G391" i="84"/>
  <c r="F391" i="84"/>
  <c r="E391" i="84"/>
  <c r="D391" i="84"/>
  <c r="A51" i="84"/>
  <c r="B390" i="84"/>
  <c r="D118" i="85"/>
  <c r="D205" i="84"/>
  <c r="D116" i="85"/>
  <c r="E116" i="85"/>
  <c r="F116" i="85"/>
  <c r="G116" i="85"/>
  <c r="H116" i="85"/>
  <c r="I116" i="85"/>
  <c r="J116" i="85"/>
  <c r="K116" i="85"/>
  <c r="L116" i="85"/>
  <c r="D115" i="85"/>
  <c r="D400" i="84"/>
  <c r="D106" i="85"/>
  <c r="E106" i="85"/>
  <c r="F106" i="85"/>
  <c r="G106" i="85"/>
  <c r="H106" i="85"/>
  <c r="I106" i="85"/>
  <c r="J106" i="85"/>
  <c r="K106" i="85"/>
  <c r="L106" i="85"/>
  <c r="D104" i="85"/>
  <c r="E104" i="85"/>
  <c r="F104" i="85"/>
  <c r="G104" i="85"/>
  <c r="H104" i="85"/>
  <c r="I104" i="85"/>
  <c r="J104" i="85"/>
  <c r="K104" i="85"/>
  <c r="L104" i="85"/>
  <c r="D103" i="85"/>
  <c r="D346" i="84"/>
  <c r="D105" i="85"/>
  <c r="D175" i="84"/>
  <c r="D95" i="85"/>
  <c r="E95" i="85"/>
  <c r="F95" i="85"/>
  <c r="G95" i="85"/>
  <c r="H95" i="85"/>
  <c r="I95" i="85"/>
  <c r="J95" i="85"/>
  <c r="K95" i="85"/>
  <c r="L95" i="85"/>
  <c r="D93" i="85"/>
  <c r="E93" i="85"/>
  <c r="F93" i="85"/>
  <c r="G93" i="85"/>
  <c r="H93" i="85"/>
  <c r="I93" i="85"/>
  <c r="J93" i="85"/>
  <c r="K93" i="85"/>
  <c r="L93" i="85"/>
  <c r="D92" i="85"/>
  <c r="D283" i="84"/>
  <c r="D94" i="85"/>
  <c r="B118" i="85"/>
  <c r="B117" i="85"/>
  <c r="B116" i="85"/>
  <c r="B115" i="85"/>
  <c r="B106" i="85"/>
  <c r="B105" i="85"/>
  <c r="B104" i="85"/>
  <c r="B103" i="85"/>
  <c r="B261" i="84"/>
  <c r="B413" i="84"/>
  <c r="B255" i="84"/>
  <c r="B412" i="84"/>
  <c r="B249" i="84"/>
  <c r="B411" i="84"/>
  <c r="B243" i="84"/>
  <c r="B410" i="84"/>
  <c r="B388" i="84"/>
  <c r="B387" i="84"/>
  <c r="B386" i="84"/>
  <c r="B385" i="84"/>
  <c r="B382" i="84"/>
  <c r="B381" i="84"/>
  <c r="B380" i="84"/>
  <c r="B379" i="84"/>
  <c r="B376" i="84"/>
  <c r="B375" i="84"/>
  <c r="B374" i="84"/>
  <c r="B373" i="84"/>
  <c r="B370" i="84"/>
  <c r="B369" i="84"/>
  <c r="B368" i="84"/>
  <c r="B367" i="84"/>
  <c r="B333" i="84"/>
  <c r="B332" i="84"/>
  <c r="B331" i="84"/>
  <c r="B330" i="84"/>
  <c r="B327" i="84"/>
  <c r="B326" i="84"/>
  <c r="B325" i="84"/>
  <c r="B324" i="84"/>
  <c r="B321" i="84"/>
  <c r="B320" i="84"/>
  <c r="B319" i="84"/>
  <c r="B318" i="84"/>
  <c r="B315" i="84"/>
  <c r="B314" i="84"/>
  <c r="B313" i="84"/>
  <c r="B312" i="84"/>
  <c r="E115" i="85"/>
  <c r="F115" i="85"/>
  <c r="G115" i="85"/>
  <c r="H115" i="85"/>
  <c r="I115" i="85"/>
  <c r="J115" i="85"/>
  <c r="K115" i="85"/>
  <c r="L115" i="85"/>
  <c r="D193" i="84"/>
  <c r="H193" i="84"/>
  <c r="E193" i="84"/>
  <c r="F193" i="84"/>
  <c r="F179" i="84"/>
  <c r="G179" i="84"/>
  <c r="D179" i="84"/>
  <c r="H179" i="84"/>
  <c r="E179" i="84"/>
  <c r="I179" i="84"/>
  <c r="E171" i="84"/>
  <c r="F171" i="84"/>
  <c r="G171" i="84"/>
  <c r="I171" i="84"/>
  <c r="D171" i="84"/>
  <c r="H171" i="84"/>
  <c r="D167" i="84"/>
  <c r="E103" i="85"/>
  <c r="D136" i="84"/>
  <c r="E118" i="85"/>
  <c r="D403" i="84"/>
  <c r="H401" i="84"/>
  <c r="F197" i="84"/>
  <c r="G197" i="84"/>
  <c r="D401" i="84"/>
  <c r="D197" i="84"/>
  <c r="H197" i="84"/>
  <c r="F401" i="84"/>
  <c r="E197" i="84"/>
  <c r="I197" i="84"/>
  <c r="B192" i="84"/>
  <c r="B196" i="84"/>
  <c r="B200" i="84"/>
  <c r="B204" i="84"/>
  <c r="B170" i="84"/>
  <c r="B178" i="84"/>
  <c r="B166" i="84"/>
  <c r="B174" i="84"/>
  <c r="E92" i="85"/>
  <c r="F92" i="85"/>
  <c r="G92" i="85"/>
  <c r="H92" i="85"/>
  <c r="I92" i="85"/>
  <c r="J92" i="85"/>
  <c r="K92" i="85"/>
  <c r="L92" i="85"/>
  <c r="D117" i="85"/>
  <c r="D201" i="84"/>
  <c r="H400" i="84"/>
  <c r="E400" i="84"/>
  <c r="I400" i="84"/>
  <c r="G401" i="84"/>
  <c r="F400" i="84"/>
  <c r="G400" i="84"/>
  <c r="E401" i="84"/>
  <c r="I401" i="84"/>
  <c r="D285" i="84"/>
  <c r="E94" i="85"/>
  <c r="E105" i="85"/>
  <c r="E175" i="84"/>
  <c r="D348" i="84"/>
  <c r="G284" i="84"/>
  <c r="G286" i="84"/>
  <c r="D347" i="84"/>
  <c r="H347" i="84"/>
  <c r="D349" i="84"/>
  <c r="H349" i="84"/>
  <c r="D284" i="84"/>
  <c r="H284" i="84"/>
  <c r="D286" i="84"/>
  <c r="H286" i="84"/>
  <c r="E347" i="84"/>
  <c r="I347" i="84"/>
  <c r="E349" i="84"/>
  <c r="I349" i="84"/>
  <c r="E284" i="84"/>
  <c r="I284" i="84"/>
  <c r="E286" i="84"/>
  <c r="I286" i="84"/>
  <c r="F347" i="84"/>
  <c r="F349" i="84"/>
  <c r="F284" i="84"/>
  <c r="F286" i="84"/>
  <c r="E346" i="84"/>
  <c r="G347" i="84"/>
  <c r="G349" i="84"/>
  <c r="B139" i="84"/>
  <c r="B147" i="84"/>
  <c r="B135" i="84"/>
  <c r="B143" i="84"/>
  <c r="B297" i="84"/>
  <c r="B294" i="84"/>
  <c r="B295" i="84"/>
  <c r="B296" i="84"/>
  <c r="B357" i="84"/>
  <c r="B354" i="84"/>
  <c r="B355" i="84"/>
  <c r="B356" i="84"/>
  <c r="B366" i="84"/>
  <c r="B372" i="84"/>
  <c r="B378" i="84"/>
  <c r="B329" i="84"/>
  <c r="B402" i="84"/>
  <c r="B403" i="84"/>
  <c r="B401" i="84"/>
  <c r="B400" i="84"/>
  <c r="E403" i="84"/>
  <c r="B317" i="84"/>
  <c r="B284" i="84"/>
  <c r="B349" i="84"/>
  <c r="B347" i="84"/>
  <c r="B346" i="84"/>
  <c r="B348" i="84"/>
  <c r="B384" i="84"/>
  <c r="B286" i="84"/>
  <c r="B311" i="84"/>
  <c r="B283" i="84"/>
  <c r="B323" i="84"/>
  <c r="B285" i="84"/>
  <c r="E149" i="72"/>
  <c r="E181" i="72"/>
  <c r="D181" i="72"/>
  <c r="D180" i="72"/>
  <c r="D185" i="72"/>
  <c r="J175" i="72"/>
  <c r="I175" i="72"/>
  <c r="H175" i="72"/>
  <c r="G175" i="72"/>
  <c r="F175" i="72"/>
  <c r="E175" i="72"/>
  <c r="D175" i="72"/>
  <c r="J174" i="72"/>
  <c r="I174" i="72"/>
  <c r="H174" i="72"/>
  <c r="G174" i="72"/>
  <c r="F174" i="72"/>
  <c r="E174" i="72"/>
  <c r="B166" i="72"/>
  <c r="A156" i="72"/>
  <c r="A155" i="72"/>
  <c r="A154" i="72"/>
  <c r="F149" i="72"/>
  <c r="F180" i="72"/>
  <c r="E180" i="72"/>
  <c r="E185" i="72"/>
  <c r="C40" i="72"/>
  <c r="D40" i="72"/>
  <c r="H37" i="72"/>
  <c r="H65" i="72"/>
  <c r="G37" i="72"/>
  <c r="G65" i="72"/>
  <c r="F37" i="72"/>
  <c r="F65" i="72"/>
  <c r="E37" i="72"/>
  <c r="E65" i="72"/>
  <c r="D37" i="72"/>
  <c r="D65" i="72"/>
  <c r="C37" i="72"/>
  <c r="C65" i="72"/>
  <c r="B37" i="72"/>
  <c r="B65" i="72"/>
  <c r="A37" i="72"/>
  <c r="A65" i="72"/>
  <c r="A135" i="72"/>
  <c r="H36" i="72"/>
  <c r="H64" i="72"/>
  <c r="G36" i="72"/>
  <c r="G64" i="72"/>
  <c r="F36" i="72"/>
  <c r="F64" i="72"/>
  <c r="E36" i="72"/>
  <c r="E64" i="72"/>
  <c r="D36" i="72"/>
  <c r="D64" i="72"/>
  <c r="C36" i="72"/>
  <c r="C64" i="72"/>
  <c r="B36" i="72"/>
  <c r="B64" i="72"/>
  <c r="A36" i="72"/>
  <c r="A64" i="72"/>
  <c r="A131" i="72"/>
  <c r="H35" i="72"/>
  <c r="H63" i="72"/>
  <c r="G35" i="72"/>
  <c r="G63" i="72"/>
  <c r="F35" i="72"/>
  <c r="F63" i="72"/>
  <c r="E35" i="72"/>
  <c r="E63" i="72"/>
  <c r="D35" i="72"/>
  <c r="D63" i="72"/>
  <c r="C35" i="72"/>
  <c r="C63" i="72"/>
  <c r="B35" i="72"/>
  <c r="B63" i="72"/>
  <c r="A35" i="72"/>
  <c r="A63" i="72"/>
  <c r="A127" i="72"/>
  <c r="H34" i="72"/>
  <c r="H62" i="72"/>
  <c r="G34" i="72"/>
  <c r="G62" i="72"/>
  <c r="F34" i="72"/>
  <c r="F62" i="72"/>
  <c r="E34" i="72"/>
  <c r="E62" i="72"/>
  <c r="D34" i="72"/>
  <c r="D62" i="72"/>
  <c r="C34" i="72"/>
  <c r="C62" i="72"/>
  <c r="A34" i="72"/>
  <c r="A62" i="72"/>
  <c r="A123" i="72"/>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c r="A30" i="72"/>
  <c r="A61" i="72"/>
  <c r="A122" i="72"/>
  <c r="H29" i="72"/>
  <c r="G29" i="72"/>
  <c r="F29" i="72"/>
  <c r="E29" i="72"/>
  <c r="D29" i="72"/>
  <c r="C29" i="72"/>
  <c r="B29" i="72"/>
  <c r="B60" i="72"/>
  <c r="A29" i="72"/>
  <c r="A60" i="72"/>
  <c r="A121" i="72"/>
  <c r="H28" i="72"/>
  <c r="G28" i="72"/>
  <c r="F28" i="72"/>
  <c r="E28" i="72"/>
  <c r="D28" i="72"/>
  <c r="C28" i="72"/>
  <c r="B28" i="72"/>
  <c r="B59" i="72"/>
  <c r="A28" i="72"/>
  <c r="A59" i="72"/>
  <c r="A120" i="72"/>
  <c r="H27" i="72"/>
  <c r="G27" i="72"/>
  <c r="F27" i="72"/>
  <c r="E27" i="72"/>
  <c r="D27" i="72"/>
  <c r="C27" i="72"/>
  <c r="B27" i="72"/>
  <c r="B58" i="72"/>
  <c r="A27" i="72"/>
  <c r="A58" i="72"/>
  <c r="A119" i="72"/>
  <c r="H26" i="72"/>
  <c r="G26" i="72"/>
  <c r="F26" i="72"/>
  <c r="E26" i="72"/>
  <c r="D26" i="72"/>
  <c r="C26" i="72"/>
  <c r="B26" i="72"/>
  <c r="B57" i="72"/>
  <c r="A26" i="72"/>
  <c r="A57" i="72"/>
  <c r="A118" i="72"/>
  <c r="H25" i="72"/>
  <c r="G25" i="72"/>
  <c r="F25" i="72"/>
  <c r="E25" i="72"/>
  <c r="D25" i="72"/>
  <c r="C25" i="72"/>
  <c r="B25" i="72"/>
  <c r="B56" i="72"/>
  <c r="A25" i="72"/>
  <c r="A56" i="72"/>
  <c r="A114" i="72"/>
  <c r="H24" i="72"/>
  <c r="G24" i="72"/>
  <c r="F24" i="72"/>
  <c r="E24" i="72"/>
  <c r="D24" i="72"/>
  <c r="C24" i="72"/>
  <c r="B24" i="72"/>
  <c r="B55" i="72"/>
  <c r="A24" i="72"/>
  <c r="A55" i="72"/>
  <c r="A110" i="72"/>
  <c r="H23" i="72"/>
  <c r="G23" i="72"/>
  <c r="F23" i="72"/>
  <c r="E23" i="72"/>
  <c r="D23" i="72"/>
  <c r="C23" i="72"/>
  <c r="B23" i="72"/>
  <c r="B54" i="72"/>
  <c r="A23" i="72"/>
  <c r="A54" i="72"/>
  <c r="A106" i="72"/>
  <c r="H22" i="72"/>
  <c r="G22" i="72"/>
  <c r="F22" i="72"/>
  <c r="E22" i="72"/>
  <c r="D22" i="72"/>
  <c r="C22" i="72"/>
  <c r="B22" i="72"/>
  <c r="B53" i="72"/>
  <c r="A22" i="72"/>
  <c r="A53" i="72"/>
  <c r="A102" i="72"/>
  <c r="H21" i="72"/>
  <c r="G21" i="72"/>
  <c r="F21" i="72"/>
  <c r="E21" i="72"/>
  <c r="D21" i="72"/>
  <c r="C21" i="72"/>
  <c r="B21" i="72"/>
  <c r="B52" i="72"/>
  <c r="A21" i="72"/>
  <c r="A52" i="72"/>
  <c r="A98" i="72"/>
  <c r="H20" i="72"/>
  <c r="G20" i="72"/>
  <c r="F20" i="72"/>
  <c r="E20" i="72"/>
  <c r="D20" i="72"/>
  <c r="C20" i="72"/>
  <c r="B20" i="72"/>
  <c r="B51" i="72"/>
  <c r="A20" i="72"/>
  <c r="A51" i="72"/>
  <c r="A94" i="72"/>
  <c r="H19" i="72"/>
  <c r="G19" i="72"/>
  <c r="F19" i="72"/>
  <c r="E19" i="72"/>
  <c r="D19" i="72"/>
  <c r="C19" i="72"/>
  <c r="B19" i="72"/>
  <c r="B50" i="72"/>
  <c r="A19" i="72"/>
  <c r="A50" i="72"/>
  <c r="A91" i="72"/>
  <c r="H18" i="72"/>
  <c r="G18" i="72"/>
  <c r="F18" i="72"/>
  <c r="E18" i="72"/>
  <c r="D18" i="72"/>
  <c r="C18" i="72"/>
  <c r="B18" i="72"/>
  <c r="B49" i="72"/>
  <c r="A18" i="72"/>
  <c r="A49" i="72"/>
  <c r="A87" i="72"/>
  <c r="H17" i="72"/>
  <c r="G17" i="72"/>
  <c r="F17" i="72"/>
  <c r="E17" i="72"/>
  <c r="D17" i="72"/>
  <c r="C17" i="72"/>
  <c r="B17" i="72"/>
  <c r="B48" i="72"/>
  <c r="A17" i="72"/>
  <c r="A48" i="72"/>
  <c r="A83" i="72"/>
  <c r="H16" i="72"/>
  <c r="G16" i="72"/>
  <c r="F16" i="72"/>
  <c r="E16" i="72"/>
  <c r="D16" i="72"/>
  <c r="C16" i="72"/>
  <c r="B16" i="72"/>
  <c r="B47" i="72"/>
  <c r="A16" i="72"/>
  <c r="A47" i="72"/>
  <c r="A79" i="72"/>
  <c r="H15" i="72"/>
  <c r="G15" i="72"/>
  <c r="F15" i="72"/>
  <c r="E15" i="72"/>
  <c r="D15" i="72"/>
  <c r="C15" i="72"/>
  <c r="B15" i="72"/>
  <c r="B46" i="72"/>
  <c r="A15" i="72"/>
  <c r="A46" i="72"/>
  <c r="A75" i="72"/>
  <c r="H14" i="72"/>
  <c r="G14" i="72"/>
  <c r="F14" i="72"/>
  <c r="E14" i="72"/>
  <c r="D14" i="72"/>
  <c r="C14" i="72"/>
  <c r="B14" i="72"/>
  <c r="B45" i="72"/>
  <c r="A14" i="72"/>
  <c r="A45" i="72"/>
  <c r="A71" i="72"/>
  <c r="H13" i="72"/>
  <c r="G13" i="72"/>
  <c r="F13" i="72"/>
  <c r="E13" i="72"/>
  <c r="D13" i="72"/>
  <c r="C13" i="72"/>
  <c r="B13" i="72"/>
  <c r="B44" i="72"/>
  <c r="A13" i="72"/>
  <c r="A44" i="72"/>
  <c r="A67" i="72"/>
  <c r="D107" i="85"/>
  <c r="E107" i="85"/>
  <c r="F107" i="85"/>
  <c r="G107" i="85"/>
  <c r="H107" i="85"/>
  <c r="I107" i="85"/>
  <c r="J107" i="85"/>
  <c r="K107" i="85"/>
  <c r="L107" i="85"/>
  <c r="I193" i="84"/>
  <c r="G193" i="84"/>
  <c r="F103" i="85"/>
  <c r="E167" i="84"/>
  <c r="I140" i="84"/>
  <c r="F148" i="84"/>
  <c r="E140" i="84"/>
  <c r="H140" i="84"/>
  <c r="F140" i="84"/>
  <c r="I148" i="84"/>
  <c r="D140" i="84"/>
  <c r="G148" i="84"/>
  <c r="E148" i="84"/>
  <c r="H148" i="84"/>
  <c r="G140" i="84"/>
  <c r="D144" i="84"/>
  <c r="D148" i="84"/>
  <c r="F118" i="85"/>
  <c r="E205" i="84"/>
  <c r="E283" i="84"/>
  <c r="I283" i="84"/>
  <c r="H283" i="84"/>
  <c r="G283" i="84"/>
  <c r="F283" i="84"/>
  <c r="E117" i="85"/>
  <c r="E201" i="84"/>
  <c r="D402" i="84"/>
  <c r="F105" i="85"/>
  <c r="F175" i="84"/>
  <c r="E348" i="84"/>
  <c r="F94" i="85"/>
  <c r="E285" i="84"/>
  <c r="E40" i="72"/>
  <c r="D41" i="72"/>
  <c r="D163" i="72"/>
  <c r="D164" i="72"/>
  <c r="D167" i="72"/>
  <c r="F126" i="72"/>
  <c r="F143" i="72"/>
  <c r="F124" i="72"/>
  <c r="F141" i="72"/>
  <c r="F125" i="72"/>
  <c r="F142" i="72"/>
  <c r="C41" i="72"/>
  <c r="C44" i="72"/>
  <c r="C46" i="72"/>
  <c r="C48" i="72"/>
  <c r="D44" i="72"/>
  <c r="D45" i="72"/>
  <c r="D46" i="72"/>
  <c r="D47" i="72"/>
  <c r="D48" i="72"/>
  <c r="D49" i="72"/>
  <c r="D50" i="72"/>
  <c r="D51" i="72"/>
  <c r="D52" i="72"/>
  <c r="D53" i="72"/>
  <c r="D54" i="72"/>
  <c r="D55" i="72"/>
  <c r="D56" i="72"/>
  <c r="D57" i="72"/>
  <c r="D58" i="72"/>
  <c r="D59" i="72"/>
  <c r="D60" i="72"/>
  <c r="D61" i="72"/>
  <c r="D124" i="72"/>
  <c r="D141" i="72"/>
  <c r="F167" i="72"/>
  <c r="D125" i="72"/>
  <c r="D142" i="72"/>
  <c r="F163" i="72"/>
  <c r="D126" i="72"/>
  <c r="D143" i="72"/>
  <c r="F164" i="72"/>
  <c r="H124" i="72"/>
  <c r="H141" i="72"/>
  <c r="H125" i="72"/>
  <c r="H142" i="72"/>
  <c r="H126" i="72"/>
  <c r="H143" i="72"/>
  <c r="C50" i="72"/>
  <c r="C52" i="72"/>
  <c r="C54" i="72"/>
  <c r="C56" i="72"/>
  <c r="C58" i="72"/>
  <c r="C60" i="72"/>
  <c r="E164" i="72"/>
  <c r="C124" i="72"/>
  <c r="C141" i="72"/>
  <c r="C125" i="72"/>
  <c r="C142" i="72"/>
  <c r="C126" i="72"/>
  <c r="C143" i="72"/>
  <c r="E168" i="72"/>
  <c r="E167" i="72"/>
  <c r="E163" i="72"/>
  <c r="G124" i="72"/>
  <c r="G141" i="72"/>
  <c r="G125" i="72"/>
  <c r="G142" i="72"/>
  <c r="G126" i="72"/>
  <c r="G143" i="72"/>
  <c r="D39" i="72"/>
  <c r="H39" i="72"/>
  <c r="C45" i="72"/>
  <c r="E39" i="72"/>
  <c r="G149" i="72"/>
  <c r="G167" i="72"/>
  <c r="E125" i="72"/>
  <c r="E142" i="72"/>
  <c r="E126" i="72"/>
  <c r="E143" i="72"/>
  <c r="G164" i="72"/>
  <c r="E124" i="72"/>
  <c r="E141" i="72"/>
  <c r="B39" i="72"/>
  <c r="F39" i="72"/>
  <c r="C39" i="72"/>
  <c r="G39" i="72"/>
  <c r="F181" i="72"/>
  <c r="F185" i="72"/>
  <c r="L187" i="85"/>
  <c r="I184" i="84"/>
  <c r="H184" i="84"/>
  <c r="G184" i="84"/>
  <c r="F184" i="84"/>
  <c r="E184" i="84"/>
  <c r="D184" i="84"/>
  <c r="G103" i="85"/>
  <c r="F167" i="84"/>
  <c r="F346" i="84"/>
  <c r="G156" i="72"/>
  <c r="I136" i="84"/>
  <c r="E144" i="84"/>
  <c r="F136" i="84"/>
  <c r="E136" i="84"/>
  <c r="G136" i="84"/>
  <c r="H136" i="84"/>
  <c r="G118" i="85"/>
  <c r="F205" i="84"/>
  <c r="F403" i="84"/>
  <c r="F117" i="85"/>
  <c r="F201" i="84"/>
  <c r="E402" i="84"/>
  <c r="G105" i="85"/>
  <c r="G175" i="84"/>
  <c r="F348" i="84"/>
  <c r="G94" i="85"/>
  <c r="F285" i="84"/>
  <c r="F155" i="72"/>
  <c r="E155" i="72"/>
  <c r="E156" i="72"/>
  <c r="F12" i="72"/>
  <c r="E41" i="72"/>
  <c r="F40" i="72"/>
  <c r="F42" i="72"/>
  <c r="F168" i="72"/>
  <c r="G181" i="72"/>
  <c r="G168" i="72"/>
  <c r="G169" i="72"/>
  <c r="H149" i="72"/>
  <c r="G180" i="72"/>
  <c r="G185" i="72"/>
  <c r="C42" i="72"/>
  <c r="C12" i="72"/>
  <c r="B12" i="72"/>
  <c r="B42" i="72"/>
  <c r="G163" i="72"/>
  <c r="H155" i="72"/>
  <c r="D168" i="72"/>
  <c r="D169" i="72"/>
  <c r="G12" i="72"/>
  <c r="F169" i="72"/>
  <c r="G154" i="72"/>
  <c r="G155" i="72"/>
  <c r="C61" i="72"/>
  <c r="C59" i="72"/>
  <c r="C57" i="72"/>
  <c r="C55" i="72"/>
  <c r="C53" i="72"/>
  <c r="C51" i="72"/>
  <c r="C49" i="72"/>
  <c r="F156" i="72"/>
  <c r="F154" i="72"/>
  <c r="C47" i="72"/>
  <c r="D12" i="72"/>
  <c r="D42" i="72"/>
  <c r="E12" i="72"/>
  <c r="E42" i="72"/>
  <c r="H12" i="72"/>
  <c r="E169" i="72"/>
  <c r="E154" i="72"/>
  <c r="H154" i="72"/>
  <c r="D120" i="85"/>
  <c r="D149" i="85"/>
  <c r="E149" i="85"/>
  <c r="F149" i="85"/>
  <c r="G149" i="85"/>
  <c r="H149" i="85"/>
  <c r="I149" i="85"/>
  <c r="B121" i="85"/>
  <c r="B120" i="85"/>
  <c r="B209" i="84"/>
  <c r="B114" i="85"/>
  <c r="B108" i="85"/>
  <c r="B107" i="85"/>
  <c r="B102" i="85"/>
  <c r="B97" i="85"/>
  <c r="B96" i="85"/>
  <c r="B91" i="85"/>
  <c r="H103" i="85"/>
  <c r="G167" i="84"/>
  <c r="G346" i="84"/>
  <c r="F144" i="84"/>
  <c r="E159" i="72"/>
  <c r="H118" i="85"/>
  <c r="G205" i="84"/>
  <c r="G403" i="84"/>
  <c r="G117" i="85"/>
  <c r="G201" i="84"/>
  <c r="F402" i="84"/>
  <c r="H105" i="85"/>
  <c r="H175" i="84"/>
  <c r="G348" i="84"/>
  <c r="H94" i="85"/>
  <c r="G285" i="84"/>
  <c r="F159" i="72"/>
  <c r="D166" i="72"/>
  <c r="D165" i="72"/>
  <c r="H168" i="72"/>
  <c r="H169" i="72"/>
  <c r="I149" i="72"/>
  <c r="H180" i="72"/>
  <c r="H181" i="72"/>
  <c r="H185" i="72"/>
  <c r="H163" i="72"/>
  <c r="H167" i="72"/>
  <c r="H164" i="72"/>
  <c r="F166" i="72"/>
  <c r="F165" i="72"/>
  <c r="I165" i="72"/>
  <c r="I166" i="72"/>
  <c r="E165" i="72"/>
  <c r="E166" i="72"/>
  <c r="F41" i="72"/>
  <c r="G40" i="72"/>
  <c r="H166" i="72"/>
  <c r="H165" i="72"/>
  <c r="G165" i="72"/>
  <c r="G166" i="72"/>
  <c r="G159" i="72"/>
  <c r="H156" i="72"/>
  <c r="H159" i="72"/>
  <c r="E44" i="72"/>
  <c r="E50" i="72"/>
  <c r="E54" i="72"/>
  <c r="E58" i="72"/>
  <c r="E53" i="72"/>
  <c r="E45" i="72"/>
  <c r="E47" i="72"/>
  <c r="E51" i="72"/>
  <c r="E55" i="72"/>
  <c r="E59" i="72"/>
  <c r="E49" i="72"/>
  <c r="E61" i="72"/>
  <c r="E46" i="72"/>
  <c r="E48" i="72"/>
  <c r="E52" i="72"/>
  <c r="E56" i="72"/>
  <c r="E60" i="72"/>
  <c r="E57" i="72"/>
  <c r="E120" i="85"/>
  <c r="D210" i="84"/>
  <c r="I103" i="85"/>
  <c r="H167" i="84"/>
  <c r="H346" i="84"/>
  <c r="G144" i="84"/>
  <c r="E177" i="72"/>
  <c r="E186" i="72"/>
  <c r="E188" i="72"/>
  <c r="G177" i="72"/>
  <c r="G186" i="72"/>
  <c r="I118" i="85"/>
  <c r="H205" i="84"/>
  <c r="H403" i="84"/>
  <c r="D177" i="72"/>
  <c r="D186" i="72"/>
  <c r="D188" i="72"/>
  <c r="H117" i="85"/>
  <c r="H201" i="84"/>
  <c r="G402" i="84"/>
  <c r="I105" i="85"/>
  <c r="I175" i="84"/>
  <c r="H348" i="84"/>
  <c r="I94" i="85"/>
  <c r="H285" i="84"/>
  <c r="H177" i="72"/>
  <c r="H186" i="72"/>
  <c r="H188" i="72"/>
  <c r="H40" i="72"/>
  <c r="G41" i="72"/>
  <c r="G42" i="72"/>
  <c r="F47" i="72"/>
  <c r="F51" i="72"/>
  <c r="F55" i="72"/>
  <c r="F59" i="72"/>
  <c r="F50" i="72"/>
  <c r="F54" i="72"/>
  <c r="F44" i="72"/>
  <c r="F48" i="72"/>
  <c r="F52" i="72"/>
  <c r="F56" i="72"/>
  <c r="F60" i="72"/>
  <c r="F46" i="72"/>
  <c r="F58" i="72"/>
  <c r="F45" i="72"/>
  <c r="F49" i="72"/>
  <c r="F53" i="72"/>
  <c r="F57" i="72"/>
  <c r="F61" i="72"/>
  <c r="G188" i="72"/>
  <c r="F177" i="72"/>
  <c r="F186" i="72"/>
  <c r="F188" i="72"/>
  <c r="I169" i="72"/>
  <c r="J149" i="72"/>
  <c r="I180" i="72"/>
  <c r="I181" i="72"/>
  <c r="I185" i="72"/>
  <c r="I168" i="72"/>
  <c r="I164" i="72"/>
  <c r="I163" i="72"/>
  <c r="I167" i="72"/>
  <c r="I155" i="72"/>
  <c r="I156" i="72"/>
  <c r="I154" i="72"/>
  <c r="F120" i="85"/>
  <c r="E210" i="84"/>
  <c r="J103" i="85"/>
  <c r="K103" i="85"/>
  <c r="L103" i="85"/>
  <c r="I167" i="84"/>
  <c r="I346" i="84"/>
  <c r="H144" i="84"/>
  <c r="J118" i="85"/>
  <c r="K118" i="85"/>
  <c r="L118" i="85"/>
  <c r="I205" i="84"/>
  <c r="I403" i="84"/>
  <c r="I117" i="85"/>
  <c r="I201" i="84"/>
  <c r="H402" i="84"/>
  <c r="J94" i="85"/>
  <c r="K94" i="85"/>
  <c r="L94" i="85"/>
  <c r="I285" i="84"/>
  <c r="J105" i="85"/>
  <c r="K105" i="85"/>
  <c r="L105" i="85"/>
  <c r="I348" i="84"/>
  <c r="I159" i="72"/>
  <c r="I177" i="72"/>
  <c r="I186" i="72"/>
  <c r="G44" i="72"/>
  <c r="G46" i="72"/>
  <c r="G48" i="72"/>
  <c r="G50" i="72"/>
  <c r="G52" i="72"/>
  <c r="G54" i="72"/>
  <c r="G56" i="72"/>
  <c r="G58" i="72"/>
  <c r="G60" i="72"/>
  <c r="G45" i="72"/>
  <c r="G47" i="72"/>
  <c r="G49" i="72"/>
  <c r="G51" i="72"/>
  <c r="G53" i="72"/>
  <c r="G55" i="72"/>
  <c r="G57" i="72"/>
  <c r="G59" i="72"/>
  <c r="G61" i="72"/>
  <c r="J180" i="72"/>
  <c r="J181" i="72"/>
  <c r="J185" i="72"/>
  <c r="J168" i="72"/>
  <c r="J169" i="72"/>
  <c r="J167" i="72"/>
  <c r="J164" i="72"/>
  <c r="J163" i="72"/>
  <c r="J154" i="72"/>
  <c r="J155" i="72"/>
  <c r="J156" i="72"/>
  <c r="J166" i="72"/>
  <c r="J165" i="72"/>
  <c r="H41" i="72"/>
  <c r="H42" i="72"/>
  <c r="G120" i="85"/>
  <c r="F210" i="84"/>
  <c r="I144" i="84"/>
  <c r="J117" i="85"/>
  <c r="K117" i="85"/>
  <c r="L117" i="85"/>
  <c r="I402" i="84"/>
  <c r="I188" i="72"/>
  <c r="H45" i="72"/>
  <c r="H47" i="72"/>
  <c r="H49" i="72"/>
  <c r="H51" i="72"/>
  <c r="H53" i="72"/>
  <c r="H55" i="72"/>
  <c r="H57" i="72"/>
  <c r="H59" i="72"/>
  <c r="H61" i="72"/>
  <c r="H44" i="72"/>
  <c r="H46" i="72"/>
  <c r="H48" i="72"/>
  <c r="H50" i="72"/>
  <c r="H52" i="72"/>
  <c r="H54" i="72"/>
  <c r="H56" i="72"/>
  <c r="H58" i="72"/>
  <c r="H60" i="72"/>
  <c r="J159" i="72"/>
  <c r="J177" i="72"/>
  <c r="J186" i="72"/>
  <c r="H120" i="85"/>
  <c r="G210" i="84"/>
  <c r="J188" i="72"/>
  <c r="I120" i="85"/>
  <c r="H210" i="84"/>
  <c r="J120" i="85"/>
  <c r="K120" i="85"/>
  <c r="L120" i="85"/>
  <c r="I210" i="84"/>
  <c r="J6" i="62"/>
  <c r="E202" i="85"/>
  <c r="D618" i="84"/>
  <c r="E199" i="85"/>
  <c r="D613" i="84"/>
  <c r="E201" i="85"/>
  <c r="F201" i="85"/>
  <c r="G201" i="85"/>
  <c r="H201" i="85"/>
  <c r="I201" i="85"/>
  <c r="J201" i="85"/>
  <c r="E198" i="85"/>
  <c r="F198" i="85"/>
  <c r="G198" i="85"/>
  <c r="H198" i="85"/>
  <c r="I198" i="85"/>
  <c r="J198" i="85"/>
  <c r="I611" i="84"/>
  <c r="D616" i="84"/>
  <c r="E616" i="84"/>
  <c r="B187" i="85"/>
  <c r="B193" i="85"/>
  <c r="E185" i="85"/>
  <c r="E183" i="85"/>
  <c r="D177" i="85"/>
  <c r="E177" i="85"/>
  <c r="F177" i="85"/>
  <c r="G177" i="85"/>
  <c r="H177" i="85"/>
  <c r="I177" i="85"/>
  <c r="F172" i="85"/>
  <c r="H171" i="85"/>
  <c r="H170" i="85"/>
  <c r="H169" i="85"/>
  <c r="H168" i="85"/>
  <c r="H167" i="85"/>
  <c r="H166" i="85"/>
  <c r="H165" i="85"/>
  <c r="H163" i="85"/>
  <c r="H162" i="85"/>
  <c r="H161" i="85"/>
  <c r="H160" i="85"/>
  <c r="H159" i="85"/>
  <c r="H158" i="85"/>
  <c r="H157" i="85"/>
  <c r="A592" i="84"/>
  <c r="A580" i="84"/>
  <c r="A568" i="84"/>
  <c r="A556" i="84"/>
  <c r="A543" i="84"/>
  <c r="B227" i="84"/>
  <c r="B214" i="84"/>
  <c r="B187" i="84"/>
  <c r="B130" i="84"/>
  <c r="B161" i="84"/>
  <c r="D71" i="85"/>
  <c r="C575" i="84"/>
  <c r="C497" i="84"/>
  <c r="B497" i="84"/>
  <c r="H497" i="84"/>
  <c r="B490" i="84"/>
  <c r="B486" i="84"/>
  <c r="C399" i="84"/>
  <c r="D114" i="85"/>
  <c r="E114" i="85"/>
  <c r="F114" i="85"/>
  <c r="G114" i="85"/>
  <c r="H114" i="85"/>
  <c r="I114" i="85"/>
  <c r="J114" i="85"/>
  <c r="K114" i="85"/>
  <c r="L114" i="85"/>
  <c r="C344" i="84"/>
  <c r="B451" i="84"/>
  <c r="B415" i="84"/>
  <c r="B363" i="84"/>
  <c r="B308" i="84"/>
  <c r="B241" i="84"/>
  <c r="C282" i="84"/>
  <c r="D130" i="85"/>
  <c r="D466" i="84"/>
  <c r="D129" i="85"/>
  <c r="D465" i="84"/>
  <c r="D126" i="85"/>
  <c r="D437" i="84"/>
  <c r="D125" i="85"/>
  <c r="E125" i="85"/>
  <c r="D124" i="85"/>
  <c r="E124" i="85"/>
  <c r="F124" i="85"/>
  <c r="G124" i="85"/>
  <c r="H124" i="85"/>
  <c r="I124" i="85"/>
  <c r="J124" i="85"/>
  <c r="K124" i="85"/>
  <c r="L124" i="85"/>
  <c r="D102" i="85"/>
  <c r="D97" i="85"/>
  <c r="D289" i="84"/>
  <c r="D96" i="85"/>
  <c r="E96" i="85"/>
  <c r="D91" i="85"/>
  <c r="D282" i="84"/>
  <c r="D82" i="85"/>
  <c r="C23" i="84"/>
  <c r="D73" i="85"/>
  <c r="E73" i="85"/>
  <c r="F73" i="85"/>
  <c r="G73" i="85"/>
  <c r="H73" i="85"/>
  <c r="I73" i="85"/>
  <c r="J73" i="85"/>
  <c r="K73" i="85"/>
  <c r="L73" i="85"/>
  <c r="D72" i="85"/>
  <c r="E72" i="85"/>
  <c r="F72" i="85"/>
  <c r="G72" i="85"/>
  <c r="H72" i="85"/>
  <c r="I72" i="85"/>
  <c r="J72" i="85"/>
  <c r="K72" i="85"/>
  <c r="L72" i="85"/>
  <c r="D70" i="85"/>
  <c r="E70" i="85"/>
  <c r="F70" i="85"/>
  <c r="G70" i="85"/>
  <c r="H70" i="85"/>
  <c r="I70" i="85"/>
  <c r="J70" i="85"/>
  <c r="K70" i="85"/>
  <c r="L70" i="85"/>
  <c r="D69" i="85"/>
  <c r="E69" i="85"/>
  <c r="F69" i="85"/>
  <c r="G69" i="85"/>
  <c r="H69" i="85"/>
  <c r="I69" i="85"/>
  <c r="J69" i="85"/>
  <c r="K69" i="85"/>
  <c r="L69" i="85"/>
  <c r="D68" i="85"/>
  <c r="E68" i="85"/>
  <c r="F68" i="85"/>
  <c r="G68" i="85"/>
  <c r="H68" i="85"/>
  <c r="I68" i="85"/>
  <c r="J68" i="85"/>
  <c r="K68" i="85"/>
  <c r="L68" i="85"/>
  <c r="I62" i="84"/>
  <c r="A59" i="84"/>
  <c r="A60" i="84"/>
  <c r="A61" i="84"/>
  <c r="A62" i="84"/>
  <c r="A54" i="84"/>
  <c r="A57" i="84"/>
  <c r="A56" i="84"/>
  <c r="A55" i="84"/>
  <c r="A49" i="84"/>
  <c r="A52" i="84"/>
  <c r="A50" i="84"/>
  <c r="A667" i="84"/>
  <c r="A47" i="84"/>
  <c r="A46" i="84"/>
  <c r="A45" i="84"/>
  <c r="A666" i="84"/>
  <c r="A44" i="84"/>
  <c r="A42" i="84"/>
  <c r="A41" i="84"/>
  <c r="A40" i="84"/>
  <c r="A665" i="84"/>
  <c r="A39" i="84"/>
  <c r="A36" i="84"/>
  <c r="A35" i="84"/>
  <c r="A34" i="84"/>
  <c r="A33" i="84"/>
  <c r="A32" i="84"/>
  <c r="A671" i="84"/>
  <c r="A676" i="84"/>
  <c r="A677" i="84"/>
  <c r="A672" i="84"/>
  <c r="A673" i="84"/>
  <c r="A678" i="84"/>
  <c r="A653" i="84"/>
  <c r="A641" i="84"/>
  <c r="A654" i="84"/>
  <c r="A642" i="84"/>
  <c r="A655" i="84"/>
  <c r="A643" i="84"/>
  <c r="A635" i="84"/>
  <c r="A648" i="84"/>
  <c r="A636" i="84"/>
  <c r="A649" i="84"/>
  <c r="A637" i="84"/>
  <c r="A650" i="84"/>
  <c r="A627" i="84"/>
  <c r="A632" i="84"/>
  <c r="A626" i="84"/>
  <c r="A631" i="84"/>
  <c r="A633" i="84"/>
  <c r="A628" i="84"/>
  <c r="F611" i="84"/>
  <c r="G611" i="84"/>
  <c r="D611" i="84"/>
  <c r="H611" i="84"/>
  <c r="F199" i="85"/>
  <c r="G199" i="85"/>
  <c r="H199" i="85"/>
  <c r="I199" i="85"/>
  <c r="J199" i="85"/>
  <c r="I613" i="84"/>
  <c r="E611" i="84"/>
  <c r="F202" i="85"/>
  <c r="D344" i="84"/>
  <c r="E102" i="85"/>
  <c r="F616" i="84"/>
  <c r="H172" i="85"/>
  <c r="E82" i="85"/>
  <c r="F82" i="85"/>
  <c r="G82" i="85"/>
  <c r="H82" i="85"/>
  <c r="I82" i="85"/>
  <c r="J82" i="85"/>
  <c r="K82" i="85"/>
  <c r="L82" i="85"/>
  <c r="E91" i="85"/>
  <c r="E282" i="84"/>
  <c r="D497" i="84"/>
  <c r="E550" i="84"/>
  <c r="F563" i="84"/>
  <c r="E71" i="85"/>
  <c r="E587" i="84"/>
  <c r="F599" i="84"/>
  <c r="E97" i="85"/>
  <c r="E289" i="84"/>
  <c r="E497" i="84"/>
  <c r="F550" i="84"/>
  <c r="C563" i="84"/>
  <c r="G563" i="84"/>
  <c r="F587" i="84"/>
  <c r="C599" i="84"/>
  <c r="G599" i="84"/>
  <c r="F497" i="84"/>
  <c r="C550" i="84"/>
  <c r="G550" i="84"/>
  <c r="D563" i="84"/>
  <c r="H563" i="84"/>
  <c r="C587" i="84"/>
  <c r="G587" i="84"/>
  <c r="D599" i="84"/>
  <c r="H599" i="84"/>
  <c r="G497" i="84"/>
  <c r="D550" i="84"/>
  <c r="H550" i="84"/>
  <c r="E563" i="84"/>
  <c r="D587" i="84"/>
  <c r="H587" i="84"/>
  <c r="E599" i="84"/>
  <c r="I399" i="84"/>
  <c r="D436" i="84"/>
  <c r="E399" i="84"/>
  <c r="G399" i="84"/>
  <c r="F125" i="85"/>
  <c r="E436" i="84"/>
  <c r="E288" i="84"/>
  <c r="F96" i="85"/>
  <c r="E126" i="85"/>
  <c r="F399" i="84"/>
  <c r="E435" i="84"/>
  <c r="I435" i="84"/>
  <c r="D288" i="84"/>
  <c r="F435" i="84"/>
  <c r="D399" i="84"/>
  <c r="H399" i="84"/>
  <c r="G435" i="84"/>
  <c r="D435" i="84"/>
  <c r="H435" i="84"/>
  <c r="E129" i="85"/>
  <c r="E465" i="84"/>
  <c r="E130" i="85"/>
  <c r="E466" i="84"/>
  <c r="M26" i="62"/>
  <c r="K28" i="62"/>
  <c r="F23" i="84"/>
  <c r="G23" i="84"/>
  <c r="H23" i="84"/>
  <c r="E613" i="84"/>
  <c r="F613" i="84"/>
  <c r="G613" i="84"/>
  <c r="G202" i="85"/>
  <c r="E618" i="84"/>
  <c r="H613" i="84"/>
  <c r="F91" i="85"/>
  <c r="F282" i="84"/>
  <c r="G616" i="84"/>
  <c r="D23" i="84"/>
  <c r="E23" i="84"/>
  <c r="F97" i="85"/>
  <c r="G97" i="85"/>
  <c r="F71" i="85"/>
  <c r="D575" i="84"/>
  <c r="G125" i="85"/>
  <c r="F436" i="84"/>
  <c r="F102" i="85"/>
  <c r="E344" i="84"/>
  <c r="G96" i="85"/>
  <c r="F288" i="84"/>
  <c r="F126" i="85"/>
  <c r="E437" i="84"/>
  <c r="F129" i="85"/>
  <c r="F130" i="85"/>
  <c r="F466" i="84"/>
  <c r="H15" i="84"/>
  <c r="G15" i="84"/>
  <c r="F15" i="84"/>
  <c r="E15" i="84"/>
  <c r="D15" i="84"/>
  <c r="C15" i="84"/>
  <c r="R24" i="68"/>
  <c r="B122" i="29"/>
  <c r="B137" i="29"/>
  <c r="B152" i="29"/>
  <c r="B167" i="29"/>
  <c r="C122" i="29"/>
  <c r="D122" i="29"/>
  <c r="E122" i="29"/>
  <c r="F122" i="29"/>
  <c r="G122" i="29"/>
  <c r="H122" i="29"/>
  <c r="I122" i="29"/>
  <c r="B123" i="29"/>
  <c r="B138" i="29"/>
  <c r="B153" i="29"/>
  <c r="B168" i="29"/>
  <c r="B124" i="29"/>
  <c r="B139" i="29"/>
  <c r="B154" i="29"/>
  <c r="B169" i="29"/>
  <c r="B125" i="29"/>
  <c r="B140" i="29"/>
  <c r="B155" i="29"/>
  <c r="B170" i="29"/>
  <c r="B126" i="29"/>
  <c r="B141" i="29"/>
  <c r="B156" i="29"/>
  <c r="B171" i="29"/>
  <c r="C126" i="29"/>
  <c r="D126" i="29"/>
  <c r="E126" i="29"/>
  <c r="F126" i="29"/>
  <c r="G126" i="29"/>
  <c r="H126" i="29"/>
  <c r="I126" i="29"/>
  <c r="B127" i="29"/>
  <c r="B142" i="29"/>
  <c r="B157" i="29"/>
  <c r="B172" i="29"/>
  <c r="B143" i="29"/>
  <c r="B158" i="29"/>
  <c r="B173" i="29"/>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c r="L103" i="84"/>
  <c r="K103" i="84"/>
  <c r="L102" i="84"/>
  <c r="K102" i="84"/>
  <c r="L101" i="84"/>
  <c r="K101" i="84"/>
  <c r="L100" i="84"/>
  <c r="K100" i="84"/>
  <c r="L99" i="84"/>
  <c r="K99" i="84"/>
  <c r="L97" i="84"/>
  <c r="K97" i="84"/>
  <c r="C96" i="84"/>
  <c r="D117" i="84"/>
  <c r="C10" i="22"/>
  <c r="J99" i="84"/>
  <c r="B532" i="84"/>
  <c r="B527" i="84"/>
  <c r="B522" i="84"/>
  <c r="B517" i="84"/>
  <c r="B512" i="84"/>
  <c r="A531" i="84"/>
  <c r="A526" i="84"/>
  <c r="A521" i="84"/>
  <c r="A516" i="84"/>
  <c r="A511" i="84"/>
  <c r="B601" i="84"/>
  <c r="H532" i="84"/>
  <c r="B589" i="84"/>
  <c r="H527" i="84"/>
  <c r="B577" i="84"/>
  <c r="B565" i="84"/>
  <c r="H517" i="84"/>
  <c r="B553" i="84"/>
  <c r="C512" i="84"/>
  <c r="C189" i="84"/>
  <c r="C163" i="84"/>
  <c r="C132" i="84"/>
  <c r="N73" i="61"/>
  <c r="M73" i="61"/>
  <c r="L73" i="61"/>
  <c r="K73" i="61"/>
  <c r="J73" i="61"/>
  <c r="I73" i="61"/>
  <c r="H73" i="61"/>
  <c r="G73" i="61"/>
  <c r="F73" i="61"/>
  <c r="E73" i="61"/>
  <c r="N72" i="61"/>
  <c r="M72" i="61"/>
  <c r="L72" i="61"/>
  <c r="K72" i="61"/>
  <c r="J72" i="61"/>
  <c r="I72" i="61"/>
  <c r="H72" i="61"/>
  <c r="G72" i="61"/>
  <c r="F72" i="61"/>
  <c r="E72" i="61"/>
  <c r="N71" i="61"/>
  <c r="N78" i="61"/>
  <c r="M71" i="61"/>
  <c r="L71" i="61"/>
  <c r="L75" i="61"/>
  <c r="K71" i="61"/>
  <c r="K75" i="61"/>
  <c r="J71" i="61"/>
  <c r="J78" i="61"/>
  <c r="I71" i="61"/>
  <c r="H71" i="61"/>
  <c r="H75" i="61"/>
  <c r="G71" i="61"/>
  <c r="G75" i="61"/>
  <c r="F71" i="61"/>
  <c r="F78" i="61"/>
  <c r="E71" i="61"/>
  <c r="G57" i="57"/>
  <c r="C15" i="22"/>
  <c r="C14" i="22"/>
  <c r="C12" i="22"/>
  <c r="C11" i="22"/>
  <c r="D8" i="22"/>
  <c r="E8" i="22"/>
  <c r="F8" i="22"/>
  <c r="G8" i="22"/>
  <c r="H8" i="22"/>
  <c r="I8" i="22"/>
  <c r="C7" i="22"/>
  <c r="C6" i="22"/>
  <c r="D6" i="22"/>
  <c r="B489" i="84"/>
  <c r="B491" i="84"/>
  <c r="B496" i="84"/>
  <c r="C496" i="84"/>
  <c r="D496" i="84"/>
  <c r="E496" i="84"/>
  <c r="F496" i="84"/>
  <c r="G496" i="84"/>
  <c r="H496" i="84"/>
  <c r="C479" i="84"/>
  <c r="D88" i="84"/>
  <c r="C474" i="84"/>
  <c r="D473" i="84"/>
  <c r="I459" i="84"/>
  <c r="H459" i="84"/>
  <c r="G459" i="84"/>
  <c r="F459" i="84"/>
  <c r="E459" i="84"/>
  <c r="D459" i="84"/>
  <c r="D448" i="84"/>
  <c r="D444" i="84"/>
  <c r="D449" i="84"/>
  <c r="E448" i="84"/>
  <c r="E220" i="84"/>
  <c r="I216" i="84"/>
  <c r="I429" i="84"/>
  <c r="H429" i="84"/>
  <c r="G429" i="84"/>
  <c r="F429" i="84"/>
  <c r="E429" i="84"/>
  <c r="D429" i="84"/>
  <c r="I423" i="84"/>
  <c r="H423" i="84"/>
  <c r="G423" i="84"/>
  <c r="F423" i="84"/>
  <c r="E423" i="84"/>
  <c r="D423" i="84"/>
  <c r="I189" i="84"/>
  <c r="D360" i="84"/>
  <c r="D345" i="84"/>
  <c r="D337" i="84"/>
  <c r="E337" i="84"/>
  <c r="F337" i="84"/>
  <c r="G337" i="84"/>
  <c r="H337" i="84"/>
  <c r="I337" i="84"/>
  <c r="D304" i="84"/>
  <c r="D300" i="84"/>
  <c r="D305" i="84"/>
  <c r="E304" i="84"/>
  <c r="D301" i="84"/>
  <c r="E300" i="84"/>
  <c r="I275" i="84"/>
  <c r="H275" i="84"/>
  <c r="G275" i="84"/>
  <c r="F275" i="84"/>
  <c r="E275" i="84"/>
  <c r="D275" i="84"/>
  <c r="I269" i="84"/>
  <c r="H269" i="84"/>
  <c r="G269" i="84"/>
  <c r="F269" i="84"/>
  <c r="E269" i="84"/>
  <c r="D269" i="84"/>
  <c r="B232" i="84"/>
  <c r="B458" i="84"/>
  <c r="B466" i="84"/>
  <c r="B472" i="84"/>
  <c r="B228" i="84"/>
  <c r="B452" i="84"/>
  <c r="B465" i="84"/>
  <c r="B468" i="84"/>
  <c r="B223" i="84"/>
  <c r="B428" i="84"/>
  <c r="B437" i="84"/>
  <c r="B219" i="84"/>
  <c r="B422" i="84"/>
  <c r="B443" i="84"/>
  <c r="B215" i="84"/>
  <c r="B416" i="84"/>
  <c r="B435" i="84"/>
  <c r="B439" i="84"/>
  <c r="B188" i="84"/>
  <c r="B364" i="84"/>
  <c r="B399" i="84"/>
  <c r="B407" i="84"/>
  <c r="B156" i="84"/>
  <c r="B274" i="84"/>
  <c r="B303" i="84"/>
  <c r="B152" i="84"/>
  <c r="B268" i="84"/>
  <c r="B299" i="84"/>
  <c r="B131" i="84"/>
  <c r="B242" i="84"/>
  <c r="B282" i="84"/>
  <c r="B291" i="84"/>
  <c r="C64" i="84"/>
  <c r="D64" i="84"/>
  <c r="B183" i="84"/>
  <c r="B336" i="84"/>
  <c r="B345" i="84"/>
  <c r="B162" i="84"/>
  <c r="B309" i="84"/>
  <c r="B344" i="84"/>
  <c r="B351" i="84"/>
  <c r="D361" i="84"/>
  <c r="E360" i="84"/>
  <c r="G91" i="85"/>
  <c r="G282" i="84"/>
  <c r="G132" i="84"/>
  <c r="H202" i="85"/>
  <c r="F618" i="84"/>
  <c r="F289" i="84"/>
  <c r="H616" i="84"/>
  <c r="G71" i="85"/>
  <c r="E575" i="84"/>
  <c r="E522" i="84"/>
  <c r="G126" i="85"/>
  <c r="F437" i="84"/>
  <c r="H97" i="85"/>
  <c r="G289" i="84"/>
  <c r="G102" i="85"/>
  <c r="F344" i="84"/>
  <c r="F163" i="84"/>
  <c r="G129" i="85"/>
  <c r="G465" i="84"/>
  <c r="G229" i="84"/>
  <c r="F465" i="84"/>
  <c r="F229" i="84"/>
  <c r="H96" i="85"/>
  <c r="G288" i="84"/>
  <c r="H125" i="85"/>
  <c r="G436" i="84"/>
  <c r="G130" i="85"/>
  <c r="G466" i="84"/>
  <c r="E78" i="61"/>
  <c r="I78" i="61"/>
  <c r="M78" i="61"/>
  <c r="C13" i="22"/>
  <c r="D13" i="22"/>
  <c r="D116" i="84"/>
  <c r="B17" i="21"/>
  <c r="D233" i="84"/>
  <c r="D474" i="84"/>
  <c r="E473" i="84"/>
  <c r="E233" i="84"/>
  <c r="E474" i="84"/>
  <c r="F473" i="84"/>
  <c r="F3" i="22"/>
  <c r="F15" i="22"/>
  <c r="E7" i="22"/>
  <c r="D10" i="22"/>
  <c r="D12" i="22"/>
  <c r="E14" i="22"/>
  <c r="E10" i="22"/>
  <c r="E12" i="22"/>
  <c r="D14" i="22"/>
  <c r="E15" i="22"/>
  <c r="E6" i="22"/>
  <c r="E9" i="22"/>
  <c r="D11" i="22"/>
  <c r="D15" i="22"/>
  <c r="D7" i="22"/>
  <c r="E11" i="22"/>
  <c r="D99" i="84"/>
  <c r="F99" i="84"/>
  <c r="G99" i="84"/>
  <c r="H99" i="84"/>
  <c r="E99" i="84"/>
  <c r="I99" i="84"/>
  <c r="C527" i="84"/>
  <c r="E527" i="84"/>
  <c r="C517" i="84"/>
  <c r="C532" i="84"/>
  <c r="B604" i="84"/>
  <c r="D106" i="84"/>
  <c r="C522" i="84"/>
  <c r="D517" i="84"/>
  <c r="D522" i="84"/>
  <c r="D527" i="84"/>
  <c r="D532" i="84"/>
  <c r="E517" i="84"/>
  <c r="E532" i="84"/>
  <c r="F517" i="84"/>
  <c r="F527" i="84"/>
  <c r="F532" i="84"/>
  <c r="G517" i="84"/>
  <c r="G527" i="84"/>
  <c r="G532" i="84"/>
  <c r="D132" i="84"/>
  <c r="D189" i="84"/>
  <c r="H189" i="84"/>
  <c r="E229" i="84"/>
  <c r="D220" i="84"/>
  <c r="D153" i="84"/>
  <c r="D163" i="84"/>
  <c r="E189" i="84"/>
  <c r="D224" i="84"/>
  <c r="D157" i="84"/>
  <c r="F189" i="84"/>
  <c r="G189" i="84"/>
  <c r="D229" i="84"/>
  <c r="D216" i="84"/>
  <c r="F132" i="84"/>
  <c r="G216" i="84"/>
  <c r="H216" i="84"/>
  <c r="E132" i="84"/>
  <c r="E163" i="84"/>
  <c r="E216" i="84"/>
  <c r="F216" i="84"/>
  <c r="D512" i="84"/>
  <c r="F80" i="61"/>
  <c r="F82" i="61"/>
  <c r="J80" i="61"/>
  <c r="J82" i="61"/>
  <c r="N80" i="61"/>
  <c r="N82" i="61"/>
  <c r="E80" i="61"/>
  <c r="E82" i="61"/>
  <c r="I80" i="61"/>
  <c r="I82" i="61"/>
  <c r="M80" i="61"/>
  <c r="M82" i="61"/>
  <c r="E75" i="61"/>
  <c r="I75" i="61"/>
  <c r="M75" i="61"/>
  <c r="G78" i="61"/>
  <c r="K78" i="61"/>
  <c r="F75" i="61"/>
  <c r="J75" i="61"/>
  <c r="N75" i="61"/>
  <c r="H78" i="61"/>
  <c r="L78" i="61"/>
  <c r="C498" i="84"/>
  <c r="D498" i="84"/>
  <c r="E498" i="84"/>
  <c r="B498" i="84"/>
  <c r="F498" i="84"/>
  <c r="E345" i="84"/>
  <c r="B359" i="84"/>
  <c r="B289" i="84"/>
  <c r="B288" i="84"/>
  <c r="E445" i="84"/>
  <c r="F444" i="84"/>
  <c r="F220" i="84"/>
  <c r="D445" i="84"/>
  <c r="E444" i="84"/>
  <c r="B436" i="84"/>
  <c r="B447" i="84"/>
  <c r="E64" i="84"/>
  <c r="H91" i="85"/>
  <c r="H282" i="84"/>
  <c r="H132" i="84"/>
  <c r="I202" i="85"/>
  <c r="G618" i="84"/>
  <c r="C17" i="22"/>
  <c r="C18" i="22"/>
  <c r="B39" i="21"/>
  <c r="I616" i="84"/>
  <c r="H71" i="85"/>
  <c r="F575" i="84"/>
  <c r="F522" i="84"/>
  <c r="H129" i="85"/>
  <c r="H465" i="84"/>
  <c r="H229" i="84"/>
  <c r="I96" i="85"/>
  <c r="H288" i="84"/>
  <c r="I97" i="85"/>
  <c r="H289" i="84"/>
  <c r="I125" i="85"/>
  <c r="H436" i="84"/>
  <c r="H102" i="85"/>
  <c r="G344" i="84"/>
  <c r="G163" i="84"/>
  <c r="H126" i="85"/>
  <c r="G437" i="84"/>
  <c r="G474" i="84"/>
  <c r="H473" i="84"/>
  <c r="H130" i="85"/>
  <c r="H466" i="84"/>
  <c r="E13" i="22"/>
  <c r="F233" i="84"/>
  <c r="F474" i="84"/>
  <c r="G473" i="84"/>
  <c r="F10" i="22"/>
  <c r="F14" i="22"/>
  <c r="F7" i="22"/>
  <c r="F11" i="22"/>
  <c r="F12" i="22"/>
  <c r="G3" i="22"/>
  <c r="F16" i="22"/>
  <c r="F6" i="22"/>
  <c r="F13" i="22"/>
  <c r="F9" i="22"/>
  <c r="F345" i="84"/>
  <c r="E301" i="84"/>
  <c r="F300" i="84"/>
  <c r="E153" i="84"/>
  <c r="E305" i="84"/>
  <c r="F304" i="84"/>
  <c r="E157" i="84"/>
  <c r="F449" i="84"/>
  <c r="G448" i="84"/>
  <c r="E224" i="84"/>
  <c r="E512" i="84"/>
  <c r="K80" i="61"/>
  <c r="K82" i="61"/>
  <c r="G80" i="61"/>
  <c r="G82" i="61"/>
  <c r="H80" i="61"/>
  <c r="H82" i="61"/>
  <c r="L80" i="61"/>
  <c r="L82" i="61"/>
  <c r="G498" i="84"/>
  <c r="E449" i="84"/>
  <c r="F448" i="84"/>
  <c r="E361" i="84"/>
  <c r="F360" i="84"/>
  <c r="F445" i="84"/>
  <c r="G444" i="84"/>
  <c r="G220" i="84"/>
  <c r="F64" i="84"/>
  <c r="B14" i="21"/>
  <c r="I91" i="85"/>
  <c r="I282" i="84"/>
  <c r="I132" i="84"/>
  <c r="D17" i="22"/>
  <c r="D18" i="22"/>
  <c r="C39" i="21"/>
  <c r="H618" i="84"/>
  <c r="J202" i="85"/>
  <c r="I618" i="84"/>
  <c r="G17" i="22"/>
  <c r="F17" i="22"/>
  <c r="E17" i="22"/>
  <c r="E18" i="22"/>
  <c r="I71" i="85"/>
  <c r="G575" i="84"/>
  <c r="G522" i="84"/>
  <c r="I129" i="85"/>
  <c r="I465" i="84"/>
  <c r="I229" i="84"/>
  <c r="I126" i="85"/>
  <c r="H437" i="84"/>
  <c r="J97" i="85"/>
  <c r="K97" i="85"/>
  <c r="L97" i="85"/>
  <c r="I289" i="84"/>
  <c r="I102" i="85"/>
  <c r="H344" i="84"/>
  <c r="H163" i="84"/>
  <c r="J125" i="85"/>
  <c r="K125" i="85"/>
  <c r="L125" i="85"/>
  <c r="I436" i="84"/>
  <c r="J96" i="85"/>
  <c r="K96" i="85"/>
  <c r="L96" i="85"/>
  <c r="I288" i="84"/>
  <c r="G233" i="84"/>
  <c r="I130" i="85"/>
  <c r="I466" i="84"/>
  <c r="H474" i="84"/>
  <c r="I473" i="84"/>
  <c r="H3" i="22"/>
  <c r="G15" i="22"/>
  <c r="G12" i="22"/>
  <c r="G16" i="22"/>
  <c r="G9" i="22"/>
  <c r="G13" i="22"/>
  <c r="G6" i="22"/>
  <c r="G11" i="22"/>
  <c r="G14" i="22"/>
  <c r="G7" i="22"/>
  <c r="G10" i="22"/>
  <c r="B37" i="84"/>
  <c r="D100" i="84"/>
  <c r="B52" i="84"/>
  <c r="C36" i="84"/>
  <c r="C595" i="84"/>
  <c r="C35" i="84"/>
  <c r="C583" i="84"/>
  <c r="B47" i="84"/>
  <c r="B62" i="84"/>
  <c r="G153" i="84"/>
  <c r="F153" i="84"/>
  <c r="G157" i="84"/>
  <c r="F157" i="84"/>
  <c r="F224" i="84"/>
  <c r="F361" i="84"/>
  <c r="G360" i="84"/>
  <c r="G345" i="84"/>
  <c r="F512" i="84"/>
  <c r="F301" i="84"/>
  <c r="G300" i="84"/>
  <c r="F305" i="84"/>
  <c r="G304" i="84"/>
  <c r="H498" i="84"/>
  <c r="G445" i="84"/>
  <c r="H444" i="84"/>
  <c r="H220" i="84"/>
  <c r="B24" i="84"/>
  <c r="G64" i="84"/>
  <c r="C27" i="84"/>
  <c r="C28" i="84"/>
  <c r="C29" i="84"/>
  <c r="C51" i="84"/>
  <c r="D392" i="84"/>
  <c r="D393" i="84"/>
  <c r="D209" i="84"/>
  <c r="J91" i="85"/>
  <c r="K91" i="85"/>
  <c r="L91" i="85"/>
  <c r="C571" i="84"/>
  <c r="B582" i="84"/>
  <c r="B526" i="84"/>
  <c r="B529" i="84"/>
  <c r="C559" i="84"/>
  <c r="J71" i="85"/>
  <c r="K71" i="85"/>
  <c r="L71" i="85"/>
  <c r="H575" i="84"/>
  <c r="H522" i="84"/>
  <c r="J129" i="85"/>
  <c r="K129" i="85"/>
  <c r="L129" i="85"/>
  <c r="J102" i="85"/>
  <c r="K102" i="85"/>
  <c r="L102" i="85"/>
  <c r="I344" i="84"/>
  <c r="I163" i="84"/>
  <c r="J126" i="85"/>
  <c r="K126" i="85"/>
  <c r="L126" i="85"/>
  <c r="I437" i="84"/>
  <c r="H233" i="84"/>
  <c r="J130" i="85"/>
  <c r="K130" i="85"/>
  <c r="L130" i="85"/>
  <c r="I233" i="84"/>
  <c r="J24" i="85"/>
  <c r="K24" i="85"/>
  <c r="L24" i="85"/>
  <c r="J25" i="85"/>
  <c r="K25" i="85"/>
  <c r="L25" i="85"/>
  <c r="I3" i="22"/>
  <c r="H13" i="22"/>
  <c r="H9" i="22"/>
  <c r="H16" i="22"/>
  <c r="H6" i="22"/>
  <c r="H14" i="22"/>
  <c r="H12" i="22"/>
  <c r="H10" i="22"/>
  <c r="H15" i="22"/>
  <c r="H7" i="22"/>
  <c r="H11" i="22"/>
  <c r="H17" i="22"/>
  <c r="D39" i="21"/>
  <c r="C37" i="84"/>
  <c r="E100" i="84"/>
  <c r="G305" i="84"/>
  <c r="H304" i="84"/>
  <c r="H153" i="84"/>
  <c r="G301" i="84"/>
  <c r="H300" i="84"/>
  <c r="E626" i="84"/>
  <c r="C546" i="84"/>
  <c r="C41" i="84"/>
  <c r="C42" i="84"/>
  <c r="D276" i="84"/>
  <c r="D277" i="84"/>
  <c r="D156" i="84"/>
  <c r="D158" i="84"/>
  <c r="C62" i="84"/>
  <c r="C61" i="84"/>
  <c r="D460" i="84"/>
  <c r="D461" i="84"/>
  <c r="D232" i="84"/>
  <c r="D234" i="84"/>
  <c r="C60" i="84"/>
  <c r="D454" i="84"/>
  <c r="B545" i="84"/>
  <c r="B511" i="84"/>
  <c r="B514" i="84"/>
  <c r="C46" i="84"/>
  <c r="C47" i="84"/>
  <c r="C57" i="84"/>
  <c r="D430" i="84"/>
  <c r="D431" i="84"/>
  <c r="D223" i="84"/>
  <c r="D225" i="84"/>
  <c r="C55" i="84"/>
  <c r="D418" i="84"/>
  <c r="C56" i="84"/>
  <c r="D424" i="84"/>
  <c r="D425" i="84"/>
  <c r="D219" i="84"/>
  <c r="D221" i="84"/>
  <c r="E628" i="84"/>
  <c r="C52" i="84"/>
  <c r="H157" i="84"/>
  <c r="D36" i="84"/>
  <c r="D595" i="84"/>
  <c r="D35" i="84"/>
  <c r="D583" i="84"/>
  <c r="G361" i="84"/>
  <c r="H360" i="84"/>
  <c r="H345" i="84"/>
  <c r="G224" i="84"/>
  <c r="G449" i="84"/>
  <c r="H448" i="84"/>
  <c r="G512" i="84"/>
  <c r="F18" i="22"/>
  <c r="I220" i="84"/>
  <c r="H445" i="84"/>
  <c r="I444" i="84"/>
  <c r="C67" i="84"/>
  <c r="C596" i="84"/>
  <c r="C66" i="84"/>
  <c r="C24" i="84"/>
  <c r="H64" i="84"/>
  <c r="D211" i="84"/>
  <c r="D28" i="84"/>
  <c r="D29" i="84"/>
  <c r="D51" i="84"/>
  <c r="E392" i="84"/>
  <c r="E393" i="84"/>
  <c r="E209" i="84"/>
  <c r="D27" i="84"/>
  <c r="D270" i="84"/>
  <c r="D271" i="84"/>
  <c r="D152" i="84"/>
  <c r="D154" i="84"/>
  <c r="D338" i="84"/>
  <c r="D339" i="84"/>
  <c r="D183" i="84"/>
  <c r="D185" i="84"/>
  <c r="E633" i="84"/>
  <c r="E643" i="84"/>
  <c r="E637" i="84"/>
  <c r="E667" i="84"/>
  <c r="E631" i="84"/>
  <c r="E641" i="84"/>
  <c r="E635" i="84"/>
  <c r="E665" i="84"/>
  <c r="E627" i="84"/>
  <c r="E625" i="84"/>
  <c r="C581" i="84"/>
  <c r="D571" i="84"/>
  <c r="C589" i="84"/>
  <c r="D559" i="84"/>
  <c r="I474" i="84"/>
  <c r="H301" i="84"/>
  <c r="I300" i="84"/>
  <c r="I16" i="22"/>
  <c r="I9" i="22"/>
  <c r="I15" i="22"/>
  <c r="I12" i="22"/>
  <c r="I14" i="22"/>
  <c r="I10" i="22"/>
  <c r="I7" i="22"/>
  <c r="I6" i="22"/>
  <c r="I13" i="22"/>
  <c r="I11" i="22"/>
  <c r="I17" i="22"/>
  <c r="E39" i="21"/>
  <c r="D96" i="84"/>
  <c r="D95" i="84"/>
  <c r="I153" i="84"/>
  <c r="D103" i="84"/>
  <c r="D97" i="84"/>
  <c r="D101" i="84"/>
  <c r="D546" i="84"/>
  <c r="D37" i="84"/>
  <c r="F100" i="84"/>
  <c r="I157" i="84"/>
  <c r="C601" i="84"/>
  <c r="C593" i="84"/>
  <c r="C594" i="84"/>
  <c r="C531" i="84"/>
  <c r="C534" i="84"/>
  <c r="B594" i="84"/>
  <c r="B531" i="84"/>
  <c r="B534" i="84"/>
  <c r="C557" i="84"/>
  <c r="C565" i="84"/>
  <c r="B558" i="84"/>
  <c r="B516" i="84"/>
  <c r="B519" i="84"/>
  <c r="C569" i="84"/>
  <c r="C577" i="84"/>
  <c r="B570" i="84"/>
  <c r="B521" i="84"/>
  <c r="B524" i="84"/>
  <c r="D593" i="84"/>
  <c r="C602" i="84"/>
  <c r="D601" i="84"/>
  <c r="C584" i="84"/>
  <c r="C560" i="84"/>
  <c r="C572" i="84"/>
  <c r="C544" i="84"/>
  <c r="C547" i="84"/>
  <c r="H305" i="84"/>
  <c r="I304" i="84"/>
  <c r="I345" i="84"/>
  <c r="H361" i="84"/>
  <c r="I360" i="84"/>
  <c r="D41" i="84"/>
  <c r="D42" i="84"/>
  <c r="E276" i="84"/>
  <c r="E277" i="84"/>
  <c r="E156" i="84"/>
  <c r="E158" i="84"/>
  <c r="F626" i="84"/>
  <c r="F628" i="84"/>
  <c r="D52" i="84"/>
  <c r="D57" i="84"/>
  <c r="E430" i="84"/>
  <c r="E431" i="84"/>
  <c r="E223" i="84"/>
  <c r="E225" i="84"/>
  <c r="D55" i="84"/>
  <c r="E418" i="84"/>
  <c r="D56" i="84"/>
  <c r="E424" i="84"/>
  <c r="E425" i="84"/>
  <c r="E219" i="84"/>
  <c r="E221" i="84"/>
  <c r="H224" i="84"/>
  <c r="H449" i="84"/>
  <c r="I448" i="84"/>
  <c r="E36" i="84"/>
  <c r="E595" i="84"/>
  <c r="E35" i="84"/>
  <c r="E583" i="84"/>
  <c r="D47" i="84"/>
  <c r="D46" i="84"/>
  <c r="D61" i="84"/>
  <c r="E460" i="84"/>
  <c r="E461" i="84"/>
  <c r="E232" i="84"/>
  <c r="E234" i="84"/>
  <c r="D62" i="84"/>
  <c r="D60" i="84"/>
  <c r="E454" i="84"/>
  <c r="H512" i="84"/>
  <c r="G18" i="22"/>
  <c r="D440" i="84"/>
  <c r="D417" i="84"/>
  <c r="D420" i="84"/>
  <c r="D419" i="84"/>
  <c r="D215" i="84"/>
  <c r="D217" i="84"/>
  <c r="D453" i="84"/>
  <c r="D456" i="84"/>
  <c r="D455" i="84"/>
  <c r="D228" i="84"/>
  <c r="D230" i="84"/>
  <c r="D469" i="84"/>
  <c r="I445" i="84"/>
  <c r="C69" i="84"/>
  <c r="D612" i="84"/>
  <c r="D67" i="84"/>
  <c r="D24" i="84"/>
  <c r="D66" i="84"/>
  <c r="E211" i="84"/>
  <c r="E29" i="84"/>
  <c r="E27" i="84"/>
  <c r="E28" i="84"/>
  <c r="E338" i="84"/>
  <c r="E339" i="84"/>
  <c r="E183" i="84"/>
  <c r="E185" i="84"/>
  <c r="E270" i="84"/>
  <c r="E271" i="84"/>
  <c r="E152" i="84"/>
  <c r="E154" i="84"/>
  <c r="E653" i="84"/>
  <c r="D251" i="84"/>
  <c r="E648" i="84"/>
  <c r="D245" i="84"/>
  <c r="E655" i="84"/>
  <c r="D374" i="84"/>
  <c r="E650" i="84"/>
  <c r="D368" i="84"/>
  <c r="D250" i="84"/>
  <c r="D244" i="84"/>
  <c r="D256" i="84"/>
  <c r="E678" i="84"/>
  <c r="D386" i="84"/>
  <c r="E673" i="84"/>
  <c r="D380" i="84"/>
  <c r="E676" i="84"/>
  <c r="D263" i="84"/>
  <c r="E671" i="84"/>
  <c r="D257" i="84"/>
  <c r="E632" i="84"/>
  <c r="E642" i="84"/>
  <c r="E636" i="84"/>
  <c r="F633" i="84"/>
  <c r="F643" i="84"/>
  <c r="F637" i="84"/>
  <c r="F667" i="84"/>
  <c r="F631" i="84"/>
  <c r="F641" i="84"/>
  <c r="F635" i="84"/>
  <c r="F665" i="84"/>
  <c r="F627" i="84"/>
  <c r="F625" i="84"/>
  <c r="E634" i="84"/>
  <c r="E630" i="84"/>
  <c r="E571" i="84"/>
  <c r="E51" i="84"/>
  <c r="E559" i="84"/>
  <c r="D617" i="84"/>
  <c r="D614" i="84"/>
  <c r="I305" i="84"/>
  <c r="I301" i="84"/>
  <c r="F39" i="21"/>
  <c r="E95" i="84"/>
  <c r="E96" i="84"/>
  <c r="D547" i="84"/>
  <c r="D554" i="84"/>
  <c r="E546" i="84"/>
  <c r="E37" i="84"/>
  <c r="G100" i="84"/>
  <c r="E97" i="84"/>
  <c r="E103" i="84"/>
  <c r="E101" i="84"/>
  <c r="B536" i="84"/>
  <c r="D94" i="84"/>
  <c r="D596" i="84"/>
  <c r="D594" i="84"/>
  <c r="D531" i="84"/>
  <c r="D534" i="84"/>
  <c r="C590" i="84"/>
  <c r="D589" i="84"/>
  <c r="D581" i="84"/>
  <c r="C582" i="84"/>
  <c r="C526" i="84"/>
  <c r="C529" i="84"/>
  <c r="D560" i="84"/>
  <c r="D584" i="84"/>
  <c r="C558" i="84"/>
  <c r="C516" i="84"/>
  <c r="C519" i="84"/>
  <c r="D557" i="84"/>
  <c r="C566" i="84"/>
  <c r="D565" i="84"/>
  <c r="C578" i="84"/>
  <c r="D577" i="84"/>
  <c r="D569" i="84"/>
  <c r="C570" i="84"/>
  <c r="C521" i="84"/>
  <c r="C524" i="84"/>
  <c r="D572" i="84"/>
  <c r="C554" i="84"/>
  <c r="D544" i="84"/>
  <c r="C545" i="84"/>
  <c r="C511" i="84"/>
  <c r="C514" i="84"/>
  <c r="D107" i="84"/>
  <c r="C553" i="84"/>
  <c r="E47" i="84"/>
  <c r="E46" i="84"/>
  <c r="E56" i="84"/>
  <c r="F424" i="84"/>
  <c r="F425" i="84"/>
  <c r="F219" i="84"/>
  <c r="F221" i="84"/>
  <c r="E57" i="84"/>
  <c r="F430" i="84"/>
  <c r="F431" i="84"/>
  <c r="F223" i="84"/>
  <c r="F225" i="84"/>
  <c r="E55" i="84"/>
  <c r="F418" i="84"/>
  <c r="I361" i="84"/>
  <c r="G628" i="84"/>
  <c r="E52" i="84"/>
  <c r="E61" i="84"/>
  <c r="F460" i="84"/>
  <c r="F461" i="84"/>
  <c r="F232" i="84"/>
  <c r="F234" i="84"/>
  <c r="E62" i="84"/>
  <c r="E60" i="84"/>
  <c r="F454" i="84"/>
  <c r="F35" i="84"/>
  <c r="F583" i="84"/>
  <c r="F36" i="84"/>
  <c r="F595" i="84"/>
  <c r="E42" i="84"/>
  <c r="F276" i="84"/>
  <c r="F277" i="84"/>
  <c r="F156" i="84"/>
  <c r="F158" i="84"/>
  <c r="E41" i="84"/>
  <c r="G626" i="84"/>
  <c r="I224" i="84"/>
  <c r="I449" i="84"/>
  <c r="H18" i="22"/>
  <c r="D470" i="84"/>
  <c r="E469" i="84"/>
  <c r="E453" i="84"/>
  <c r="E456" i="84"/>
  <c r="E417" i="84"/>
  <c r="E420" i="84"/>
  <c r="D441" i="84"/>
  <c r="E440" i="84"/>
  <c r="D69" i="84"/>
  <c r="E612" i="84"/>
  <c r="E67" i="84"/>
  <c r="E584" i="84"/>
  <c r="E24" i="84"/>
  <c r="E66" i="84"/>
  <c r="F392" i="84"/>
  <c r="F393" i="84"/>
  <c r="F209" i="84"/>
  <c r="F211" i="84"/>
  <c r="F27" i="84"/>
  <c r="F28" i="84"/>
  <c r="F29" i="84"/>
  <c r="F270" i="84"/>
  <c r="F271" i="84"/>
  <c r="F152" i="84"/>
  <c r="F154" i="84"/>
  <c r="F338" i="84"/>
  <c r="F339" i="84"/>
  <c r="F183" i="84"/>
  <c r="F185" i="84"/>
  <c r="E666" i="84"/>
  <c r="E668" i="84"/>
  <c r="F653" i="84"/>
  <c r="F648" i="84"/>
  <c r="E245" i="84"/>
  <c r="E649" i="84"/>
  <c r="D313" i="84"/>
  <c r="E654" i="84"/>
  <c r="D319" i="84"/>
  <c r="F655" i="84"/>
  <c r="F650" i="84"/>
  <c r="E368" i="84"/>
  <c r="E644" i="84"/>
  <c r="E544" i="84"/>
  <c r="D262" i="84"/>
  <c r="D265" i="84"/>
  <c r="D297" i="84"/>
  <c r="D292" i="84"/>
  <c r="D324" i="84"/>
  <c r="D247" i="84"/>
  <c r="D294" i="84"/>
  <c r="D318" i="84"/>
  <c r="D259" i="84"/>
  <c r="D296" i="84"/>
  <c r="D253" i="84"/>
  <c r="D295" i="84"/>
  <c r="F678" i="84"/>
  <c r="E386" i="84"/>
  <c r="F673" i="84"/>
  <c r="E380" i="84"/>
  <c r="F676" i="84"/>
  <c r="E263" i="84"/>
  <c r="F671" i="84"/>
  <c r="E257" i="84"/>
  <c r="E374" i="84"/>
  <c r="E251" i="84"/>
  <c r="G631" i="84"/>
  <c r="G641" i="84"/>
  <c r="G635" i="84"/>
  <c r="G665" i="84"/>
  <c r="G633" i="84"/>
  <c r="G643" i="84"/>
  <c r="G637" i="84"/>
  <c r="G667" i="84"/>
  <c r="F632" i="84"/>
  <c r="F642" i="84"/>
  <c r="F644" i="84"/>
  <c r="F636" i="84"/>
  <c r="F666" i="84"/>
  <c r="G627" i="84"/>
  <c r="G625" i="84"/>
  <c r="F630" i="84"/>
  <c r="F634" i="84"/>
  <c r="F571" i="84"/>
  <c r="F51" i="84"/>
  <c r="F559" i="84"/>
  <c r="E617" i="84"/>
  <c r="E614" i="84"/>
  <c r="G39" i="21"/>
  <c r="D545" i="84"/>
  <c r="D511" i="84"/>
  <c r="D514" i="84"/>
  <c r="F96" i="84"/>
  <c r="F95" i="84"/>
  <c r="D558" i="84"/>
  <c r="D516" i="84"/>
  <c r="D519" i="84"/>
  <c r="F546" i="84"/>
  <c r="F37" i="84"/>
  <c r="H100" i="84"/>
  <c r="F97" i="84"/>
  <c r="F103" i="84"/>
  <c r="F101" i="84"/>
  <c r="D582" i="84"/>
  <c r="D526" i="84"/>
  <c r="D529" i="84"/>
  <c r="C604" i="84"/>
  <c r="E106" i="84"/>
  <c r="C536" i="84"/>
  <c r="E94" i="84"/>
  <c r="F581" i="84"/>
  <c r="E590" i="84"/>
  <c r="F589" i="84"/>
  <c r="E569" i="84"/>
  <c r="D578" i="84"/>
  <c r="E577" i="84"/>
  <c r="E572" i="84"/>
  <c r="E596" i="84"/>
  <c r="E557" i="84"/>
  <c r="D566" i="84"/>
  <c r="E565" i="84"/>
  <c r="E593" i="84"/>
  <c r="D602" i="84"/>
  <c r="E601" i="84"/>
  <c r="E547" i="84"/>
  <c r="E554" i="84"/>
  <c r="D570" i="84"/>
  <c r="D521" i="84"/>
  <c r="D524" i="84"/>
  <c r="E560" i="84"/>
  <c r="E581" i="84"/>
  <c r="E582" i="84"/>
  <c r="E526" i="84"/>
  <c r="E529" i="84"/>
  <c r="D590" i="84"/>
  <c r="E589" i="84"/>
  <c r="C605" i="84"/>
  <c r="E107" i="84"/>
  <c r="D553" i="84"/>
  <c r="E553" i="84"/>
  <c r="F46" i="84"/>
  <c r="F45" i="84"/>
  <c r="F47" i="84"/>
  <c r="G35" i="84"/>
  <c r="G583" i="84"/>
  <c r="G36" i="84"/>
  <c r="G595" i="84"/>
  <c r="F42" i="84"/>
  <c r="G276" i="84"/>
  <c r="G277" i="84"/>
  <c r="G156" i="84"/>
  <c r="G158" i="84"/>
  <c r="F40" i="84"/>
  <c r="H626" i="84"/>
  <c r="F41" i="84"/>
  <c r="F56" i="84"/>
  <c r="G424" i="84"/>
  <c r="G425" i="84"/>
  <c r="G219" i="84"/>
  <c r="G221" i="84"/>
  <c r="F57" i="84"/>
  <c r="G430" i="84"/>
  <c r="G431" i="84"/>
  <c r="G223" i="84"/>
  <c r="G225" i="84"/>
  <c r="F55" i="84"/>
  <c r="G418" i="84"/>
  <c r="F62" i="84"/>
  <c r="F60" i="84"/>
  <c r="G454" i="84"/>
  <c r="F61" i="84"/>
  <c r="G460" i="84"/>
  <c r="G461" i="84"/>
  <c r="G232" i="84"/>
  <c r="G234" i="84"/>
  <c r="F52" i="84"/>
  <c r="F50" i="84"/>
  <c r="H628" i="84"/>
  <c r="I18" i="22"/>
  <c r="E419" i="84"/>
  <c r="E215" i="84"/>
  <c r="E217" i="84"/>
  <c r="F417" i="84"/>
  <c r="F420" i="84"/>
  <c r="E441" i="84"/>
  <c r="F440" i="84"/>
  <c r="E455" i="84"/>
  <c r="E228" i="84"/>
  <c r="E230" i="84"/>
  <c r="F453" i="84"/>
  <c r="F456" i="84"/>
  <c r="E470" i="84"/>
  <c r="F469" i="84"/>
  <c r="E69" i="84"/>
  <c r="F612" i="84"/>
  <c r="F67" i="84"/>
  <c r="F66" i="84"/>
  <c r="F24" i="84"/>
  <c r="G392" i="84"/>
  <c r="G393" i="84"/>
  <c r="G209" i="84"/>
  <c r="G211" i="84"/>
  <c r="G27" i="84"/>
  <c r="G28" i="84"/>
  <c r="G29" i="84"/>
  <c r="G338" i="84"/>
  <c r="G339" i="84"/>
  <c r="G183" i="84"/>
  <c r="G185" i="84"/>
  <c r="G270" i="84"/>
  <c r="G271" i="84"/>
  <c r="G152" i="84"/>
  <c r="G154" i="84"/>
  <c r="E677" i="84"/>
  <c r="D331" i="84"/>
  <c r="E672" i="84"/>
  <c r="D325" i="84"/>
  <c r="D327" i="84"/>
  <c r="D356" i="84"/>
  <c r="E675" i="84"/>
  <c r="E682" i="84"/>
  <c r="E670" i="84"/>
  <c r="E681" i="84"/>
  <c r="F652" i="84"/>
  <c r="F659" i="84"/>
  <c r="F647" i="84"/>
  <c r="G653" i="84"/>
  <c r="G648" i="84"/>
  <c r="F245" i="84"/>
  <c r="E652" i="84"/>
  <c r="E647" i="84"/>
  <c r="E660" i="84"/>
  <c r="G655" i="84"/>
  <c r="F374" i="84"/>
  <c r="G650" i="84"/>
  <c r="F368" i="84"/>
  <c r="F654" i="84"/>
  <c r="E319" i="84"/>
  <c r="F649" i="84"/>
  <c r="E313" i="84"/>
  <c r="E256" i="84"/>
  <c r="E259" i="84"/>
  <c r="E296" i="84"/>
  <c r="E262" i="84"/>
  <c r="E265" i="84"/>
  <c r="E297" i="84"/>
  <c r="E244" i="84"/>
  <c r="E247" i="84"/>
  <c r="E294" i="84"/>
  <c r="E250" i="84"/>
  <c r="E253" i="84"/>
  <c r="E295" i="84"/>
  <c r="D330" i="84"/>
  <c r="D312" i="84"/>
  <c r="D315" i="84"/>
  <c r="D354" i="84"/>
  <c r="D258" i="84"/>
  <c r="D264" i="84"/>
  <c r="D147" i="84"/>
  <c r="D149" i="84"/>
  <c r="D246" i="84"/>
  <c r="D135" i="84"/>
  <c r="D137" i="84"/>
  <c r="D252" i="84"/>
  <c r="D139" i="84"/>
  <c r="D141" i="84"/>
  <c r="D321" i="84"/>
  <c r="D355" i="84"/>
  <c r="F677" i="84"/>
  <c r="E331" i="84"/>
  <c r="F672" i="84"/>
  <c r="E325" i="84"/>
  <c r="G671" i="84"/>
  <c r="F257" i="84"/>
  <c r="G676" i="84"/>
  <c r="F263" i="84"/>
  <c r="F668" i="84"/>
  <c r="G678" i="84"/>
  <c r="F386" i="84"/>
  <c r="G673" i="84"/>
  <c r="F380" i="84"/>
  <c r="F251" i="84"/>
  <c r="G632" i="84"/>
  <c r="G642" i="84"/>
  <c r="G636" i="84"/>
  <c r="H633" i="84"/>
  <c r="H643" i="84"/>
  <c r="H637" i="84"/>
  <c r="H667" i="84"/>
  <c r="H631" i="84"/>
  <c r="H641" i="84"/>
  <c r="H635" i="84"/>
  <c r="H665" i="84"/>
  <c r="H627" i="84"/>
  <c r="H625" i="84"/>
  <c r="H634" i="84"/>
  <c r="G630" i="84"/>
  <c r="G634" i="84"/>
  <c r="F547" i="84"/>
  <c r="G544" i="84"/>
  <c r="G571" i="84"/>
  <c r="G51" i="84"/>
  <c r="G559" i="84"/>
  <c r="F617" i="84"/>
  <c r="F614" i="84"/>
  <c r="H39" i="21"/>
  <c r="G96" i="84"/>
  <c r="G95" i="84"/>
  <c r="D536" i="84"/>
  <c r="F94" i="84"/>
  <c r="G546" i="84"/>
  <c r="G37" i="84"/>
  <c r="I100" i="84"/>
  <c r="G97" i="84"/>
  <c r="G103" i="84"/>
  <c r="G101" i="84"/>
  <c r="F544" i="84"/>
  <c r="D605" i="84"/>
  <c r="F107" i="84"/>
  <c r="E545" i="84"/>
  <c r="E511" i="84"/>
  <c r="E514" i="84"/>
  <c r="D604" i="84"/>
  <c r="F106" i="84"/>
  <c r="E578" i="84"/>
  <c r="F577" i="84"/>
  <c r="F569" i="84"/>
  <c r="E570" i="84"/>
  <c r="E521" i="84"/>
  <c r="E524" i="84"/>
  <c r="F572" i="84"/>
  <c r="F596" i="84"/>
  <c r="E566" i="84"/>
  <c r="F565" i="84"/>
  <c r="F557" i="84"/>
  <c r="F584" i="84"/>
  <c r="F582" i="84"/>
  <c r="F526" i="84"/>
  <c r="F529" i="84"/>
  <c r="E558" i="84"/>
  <c r="E516" i="84"/>
  <c r="E519" i="84"/>
  <c r="F593" i="84"/>
  <c r="E602" i="84"/>
  <c r="F601" i="84"/>
  <c r="E594" i="84"/>
  <c r="E531" i="84"/>
  <c r="E534" i="84"/>
  <c r="F560" i="84"/>
  <c r="F553" i="84"/>
  <c r="G52" i="84"/>
  <c r="G50" i="84"/>
  <c r="I628" i="84"/>
  <c r="G62" i="84"/>
  <c r="G60" i="84"/>
  <c r="H454" i="84"/>
  <c r="G61" i="84"/>
  <c r="H460" i="84"/>
  <c r="H461" i="84"/>
  <c r="H232" i="84"/>
  <c r="H234" i="84"/>
  <c r="G47" i="84"/>
  <c r="G46" i="84"/>
  <c r="G45" i="84"/>
  <c r="H36" i="84"/>
  <c r="H595" i="84"/>
  <c r="H35" i="84"/>
  <c r="H583" i="84"/>
  <c r="G40" i="84"/>
  <c r="I626" i="84"/>
  <c r="G41" i="84"/>
  <c r="G42" i="84"/>
  <c r="H276" i="84"/>
  <c r="H277" i="84"/>
  <c r="H156" i="84"/>
  <c r="H158" i="84"/>
  <c r="G57" i="84"/>
  <c r="H430" i="84"/>
  <c r="H431" i="84"/>
  <c r="H223" i="84"/>
  <c r="H225" i="84"/>
  <c r="G55" i="84"/>
  <c r="H418" i="84"/>
  <c r="G56" i="84"/>
  <c r="H424" i="84"/>
  <c r="H425" i="84"/>
  <c r="H219" i="84"/>
  <c r="H221" i="84"/>
  <c r="F419" i="84"/>
  <c r="F215" i="84"/>
  <c r="F217" i="84"/>
  <c r="G417" i="84"/>
  <c r="G420" i="84"/>
  <c r="G419" i="84"/>
  <c r="G215" i="84"/>
  <c r="G217" i="84"/>
  <c r="F441" i="84"/>
  <c r="G440" i="84"/>
  <c r="F455" i="84"/>
  <c r="F228" i="84"/>
  <c r="F230" i="84"/>
  <c r="G453" i="84"/>
  <c r="G456" i="84"/>
  <c r="F470" i="84"/>
  <c r="G469" i="84"/>
  <c r="G67" i="84"/>
  <c r="F69" i="84"/>
  <c r="G612" i="84"/>
  <c r="G66" i="84"/>
  <c r="G24" i="84"/>
  <c r="H392" i="84"/>
  <c r="H393" i="84"/>
  <c r="H209" i="84"/>
  <c r="H211" i="84"/>
  <c r="H270" i="84"/>
  <c r="H271" i="84"/>
  <c r="H152" i="84"/>
  <c r="H154" i="84"/>
  <c r="H28" i="84"/>
  <c r="H29" i="84"/>
  <c r="H27" i="84"/>
  <c r="H338" i="84"/>
  <c r="H339" i="84"/>
  <c r="H183" i="84"/>
  <c r="H185" i="84"/>
  <c r="E683" i="84"/>
  <c r="D333" i="84"/>
  <c r="D357" i="84"/>
  <c r="F661" i="84"/>
  <c r="E658" i="84"/>
  <c r="G666" i="84"/>
  <c r="G668" i="84"/>
  <c r="H653" i="84"/>
  <c r="G251" i="84"/>
  <c r="H648" i="84"/>
  <c r="G245" i="84"/>
  <c r="G654" i="84"/>
  <c r="F319" i="84"/>
  <c r="G649" i="84"/>
  <c r="F313" i="84"/>
  <c r="E661" i="84"/>
  <c r="E659" i="84"/>
  <c r="H655" i="84"/>
  <c r="G374" i="84"/>
  <c r="H650" i="84"/>
  <c r="G368" i="84"/>
  <c r="G644" i="84"/>
  <c r="D143" i="84"/>
  <c r="D174" i="84"/>
  <c r="D176" i="84"/>
  <c r="D352" i="84"/>
  <c r="F250" i="84"/>
  <c r="F253" i="84"/>
  <c r="F295" i="84"/>
  <c r="F262" i="84"/>
  <c r="F265" i="84"/>
  <c r="F297" i="84"/>
  <c r="F244" i="84"/>
  <c r="F247" i="84"/>
  <c r="F294" i="84"/>
  <c r="D293" i="84"/>
  <c r="E292" i="84"/>
  <c r="F256" i="84"/>
  <c r="F259" i="84"/>
  <c r="F296" i="84"/>
  <c r="E312" i="84"/>
  <c r="E315" i="84"/>
  <c r="E354" i="84"/>
  <c r="E318" i="84"/>
  <c r="E321" i="84"/>
  <c r="E355" i="84"/>
  <c r="E324" i="84"/>
  <c r="E327" i="84"/>
  <c r="E356" i="84"/>
  <c r="D314" i="84"/>
  <c r="D166" i="84"/>
  <c r="D168" i="84"/>
  <c r="E252" i="84"/>
  <c r="E139" i="84"/>
  <c r="E141" i="84"/>
  <c r="E264" i="84"/>
  <c r="E147" i="84"/>
  <c r="E149" i="84"/>
  <c r="E246" i="84"/>
  <c r="E135" i="84"/>
  <c r="E137" i="84"/>
  <c r="D320" i="84"/>
  <c r="D170" i="84"/>
  <c r="D172" i="84"/>
  <c r="E258" i="84"/>
  <c r="D326" i="84"/>
  <c r="D200" i="84"/>
  <c r="D202" i="84"/>
  <c r="H678" i="84"/>
  <c r="G386" i="84"/>
  <c r="H673" i="84"/>
  <c r="G380" i="84"/>
  <c r="F675" i="84"/>
  <c r="F682" i="84"/>
  <c r="F670" i="84"/>
  <c r="F681" i="84"/>
  <c r="H671" i="84"/>
  <c r="G257" i="84"/>
  <c r="H676" i="84"/>
  <c r="G263" i="84"/>
  <c r="F660" i="84"/>
  <c r="F658" i="84"/>
  <c r="H632" i="84"/>
  <c r="H642" i="84"/>
  <c r="H644" i="84"/>
  <c r="H636" i="84"/>
  <c r="I631" i="84"/>
  <c r="I641" i="84"/>
  <c r="I635" i="84"/>
  <c r="I665" i="84"/>
  <c r="I633" i="84"/>
  <c r="I643" i="84"/>
  <c r="I637" i="84"/>
  <c r="I667" i="84"/>
  <c r="H630" i="84"/>
  <c r="I627" i="84"/>
  <c r="I625" i="84"/>
  <c r="F545" i="84"/>
  <c r="F511" i="84"/>
  <c r="F514" i="84"/>
  <c r="F554" i="84"/>
  <c r="G553" i="84"/>
  <c r="H571" i="84"/>
  <c r="H51" i="84"/>
  <c r="H559" i="84"/>
  <c r="G617" i="84"/>
  <c r="G614" i="84"/>
  <c r="G547" i="84"/>
  <c r="H544" i="84"/>
  <c r="H96" i="84"/>
  <c r="H95" i="84"/>
  <c r="H546" i="84"/>
  <c r="H37" i="84"/>
  <c r="J100" i="84"/>
  <c r="H97" i="84"/>
  <c r="H103" i="84"/>
  <c r="H101" i="84"/>
  <c r="E604" i="84"/>
  <c r="G106" i="84"/>
  <c r="E536" i="84"/>
  <c r="G94" i="84"/>
  <c r="E605" i="84"/>
  <c r="G107" i="84"/>
  <c r="F594" i="84"/>
  <c r="F531" i="84"/>
  <c r="F534" i="84"/>
  <c r="F590" i="84"/>
  <c r="G589" i="84"/>
  <c r="G581" i="84"/>
  <c r="F602" i="84"/>
  <c r="G601" i="84"/>
  <c r="G593" i="84"/>
  <c r="F558" i="84"/>
  <c r="F516" i="84"/>
  <c r="F519" i="84"/>
  <c r="F578" i="84"/>
  <c r="G577" i="84"/>
  <c r="G569" i="84"/>
  <c r="G584" i="84"/>
  <c r="G557" i="84"/>
  <c r="F566" i="84"/>
  <c r="G565" i="84"/>
  <c r="G596" i="84"/>
  <c r="G572" i="84"/>
  <c r="F570" i="84"/>
  <c r="F521" i="84"/>
  <c r="F524" i="84"/>
  <c r="G560" i="84"/>
  <c r="H57" i="84"/>
  <c r="I430" i="84"/>
  <c r="I431" i="84"/>
  <c r="I223" i="84"/>
  <c r="I225" i="84"/>
  <c r="H55" i="84"/>
  <c r="I418" i="84"/>
  <c r="H56" i="84"/>
  <c r="I424" i="84"/>
  <c r="I425" i="84"/>
  <c r="I219" i="84"/>
  <c r="I221" i="84"/>
  <c r="H41" i="84"/>
  <c r="H40" i="84"/>
  <c r="J626" i="84"/>
  <c r="H42" i="84"/>
  <c r="I276" i="84"/>
  <c r="I277" i="84"/>
  <c r="I156" i="84"/>
  <c r="I158" i="84"/>
  <c r="H50" i="84"/>
  <c r="J628" i="84"/>
  <c r="H52" i="84"/>
  <c r="H47" i="84"/>
  <c r="H46" i="84"/>
  <c r="H45" i="84"/>
  <c r="H61" i="84"/>
  <c r="I460" i="84"/>
  <c r="I461" i="84"/>
  <c r="I232" i="84"/>
  <c r="I234" i="84"/>
  <c r="H62" i="84"/>
  <c r="H60" i="84"/>
  <c r="I454" i="84"/>
  <c r="G441" i="84"/>
  <c r="H440" i="84"/>
  <c r="H417" i="84"/>
  <c r="H420" i="84"/>
  <c r="H419" i="84"/>
  <c r="H215" i="84"/>
  <c r="H217" i="84"/>
  <c r="G455" i="84"/>
  <c r="G228" i="84"/>
  <c r="G230" i="84"/>
  <c r="H453" i="84"/>
  <c r="H456" i="84"/>
  <c r="G470" i="84"/>
  <c r="H469" i="84"/>
  <c r="G69" i="84"/>
  <c r="H612" i="84"/>
  <c r="H67" i="84"/>
  <c r="H24" i="84"/>
  <c r="H66" i="84"/>
  <c r="I392" i="84"/>
  <c r="I393" i="84"/>
  <c r="I209" i="84"/>
  <c r="I211" i="84"/>
  <c r="I270" i="84"/>
  <c r="I271" i="84"/>
  <c r="I152" i="84"/>
  <c r="I154" i="84"/>
  <c r="I338" i="84"/>
  <c r="I339" i="84"/>
  <c r="I183" i="84"/>
  <c r="I185" i="84"/>
  <c r="G672" i="84"/>
  <c r="F325" i="84"/>
  <c r="F662" i="84"/>
  <c r="F683" i="84"/>
  <c r="E662" i="84"/>
  <c r="E98" i="84"/>
  <c r="G677" i="84"/>
  <c r="F331" i="84"/>
  <c r="D332" i="84"/>
  <c r="D178" i="84"/>
  <c r="D180" i="84"/>
  <c r="D164" i="84"/>
  <c r="E330" i="84"/>
  <c r="E333" i="84"/>
  <c r="E357" i="84"/>
  <c r="D145" i="84"/>
  <c r="D133" i="84"/>
  <c r="G675" i="84"/>
  <c r="G682" i="84"/>
  <c r="G670" i="84"/>
  <c r="G681" i="84"/>
  <c r="H666" i="84"/>
  <c r="H677" i="84"/>
  <c r="G331" i="84"/>
  <c r="I655" i="84"/>
  <c r="H374" i="84"/>
  <c r="I650" i="84"/>
  <c r="H654" i="84"/>
  <c r="G319" i="84"/>
  <c r="H649" i="84"/>
  <c r="G313" i="84"/>
  <c r="H652" i="84"/>
  <c r="H647" i="84"/>
  <c r="I653" i="84"/>
  <c r="H251" i="84"/>
  <c r="I648" i="84"/>
  <c r="H245" i="84"/>
  <c r="G652" i="84"/>
  <c r="G647" i="84"/>
  <c r="G658" i="84"/>
  <c r="E143" i="84"/>
  <c r="E174" i="84"/>
  <c r="E176" i="84"/>
  <c r="G250" i="84"/>
  <c r="G253" i="84"/>
  <c r="G295" i="84"/>
  <c r="G262" i="84"/>
  <c r="G265" i="84"/>
  <c r="G297" i="84"/>
  <c r="E293" i="84"/>
  <c r="F292" i="84"/>
  <c r="G256" i="84"/>
  <c r="G259" i="84"/>
  <c r="G296" i="84"/>
  <c r="G244" i="84"/>
  <c r="G247" i="84"/>
  <c r="G294" i="84"/>
  <c r="F312" i="84"/>
  <c r="F315" i="84"/>
  <c r="F354" i="84"/>
  <c r="F318" i="84"/>
  <c r="F321" i="84"/>
  <c r="F355" i="84"/>
  <c r="D353" i="84"/>
  <c r="E352" i="84"/>
  <c r="F324" i="84"/>
  <c r="F327" i="84"/>
  <c r="F356" i="84"/>
  <c r="F246" i="84"/>
  <c r="F135" i="84"/>
  <c r="F137" i="84"/>
  <c r="E326" i="84"/>
  <c r="E200" i="84"/>
  <c r="E202" i="84"/>
  <c r="E314" i="84"/>
  <c r="E166" i="84"/>
  <c r="E168" i="84"/>
  <c r="F258" i="84"/>
  <c r="F252" i="84"/>
  <c r="F139" i="84"/>
  <c r="F141" i="84"/>
  <c r="E320" i="84"/>
  <c r="E170" i="84"/>
  <c r="E172" i="84"/>
  <c r="F264" i="84"/>
  <c r="F147" i="84"/>
  <c r="F149" i="84"/>
  <c r="E332" i="84"/>
  <c r="E178" i="84"/>
  <c r="E180" i="84"/>
  <c r="I676" i="84"/>
  <c r="H263" i="84"/>
  <c r="I671" i="84"/>
  <c r="H257" i="84"/>
  <c r="I678" i="84"/>
  <c r="H386" i="84"/>
  <c r="I673" i="84"/>
  <c r="H380" i="84"/>
  <c r="H368" i="84"/>
  <c r="J633" i="84"/>
  <c r="J643" i="84"/>
  <c r="J637" i="84"/>
  <c r="J667" i="84"/>
  <c r="I632" i="84"/>
  <c r="I642" i="84"/>
  <c r="I636" i="84"/>
  <c r="J631" i="84"/>
  <c r="J641" i="84"/>
  <c r="J635" i="84"/>
  <c r="J665" i="84"/>
  <c r="J627" i="84"/>
  <c r="G545" i="84"/>
  <c r="G511" i="84"/>
  <c r="G514" i="84"/>
  <c r="J625" i="84"/>
  <c r="I634" i="84"/>
  <c r="I630" i="84"/>
  <c r="H617" i="84"/>
  <c r="H614" i="84"/>
  <c r="G554" i="84"/>
  <c r="H553" i="84"/>
  <c r="H547" i="84"/>
  <c r="H554" i="84"/>
  <c r="I95" i="84"/>
  <c r="I96" i="84"/>
  <c r="I97" i="84"/>
  <c r="I103" i="84"/>
  <c r="I101" i="84"/>
  <c r="F604" i="84"/>
  <c r="H106" i="84"/>
  <c r="F605" i="84"/>
  <c r="G558" i="84"/>
  <c r="G516" i="84"/>
  <c r="G519" i="84"/>
  <c r="F536" i="84"/>
  <c r="H94" i="84"/>
  <c r="G602" i="84"/>
  <c r="H601" i="84"/>
  <c r="H593" i="84"/>
  <c r="H572" i="84"/>
  <c r="H578" i="84"/>
  <c r="H569" i="84"/>
  <c r="G578" i="84"/>
  <c r="H577" i="84"/>
  <c r="H581" i="84"/>
  <c r="G590" i="84"/>
  <c r="H589" i="84"/>
  <c r="G582" i="84"/>
  <c r="G526" i="84"/>
  <c r="G529" i="84"/>
  <c r="H596" i="84"/>
  <c r="H602" i="84"/>
  <c r="G570" i="84"/>
  <c r="G521" i="84"/>
  <c r="G524" i="84"/>
  <c r="G566" i="84"/>
  <c r="H565" i="84"/>
  <c r="H557" i="84"/>
  <c r="H560" i="84"/>
  <c r="H566" i="84"/>
  <c r="G594" i="84"/>
  <c r="G531" i="84"/>
  <c r="G534" i="84"/>
  <c r="H584" i="84"/>
  <c r="H590" i="84"/>
  <c r="I417" i="84"/>
  <c r="H441" i="84"/>
  <c r="H470" i="84"/>
  <c r="I469" i="84"/>
  <c r="I453" i="84"/>
  <c r="H455" i="84"/>
  <c r="H228" i="84"/>
  <c r="H230" i="84"/>
  <c r="H69" i="84"/>
  <c r="I612" i="84"/>
  <c r="H672" i="84"/>
  <c r="G325" i="84"/>
  <c r="G683" i="84"/>
  <c r="F98" i="84"/>
  <c r="F330" i="84"/>
  <c r="F333" i="84"/>
  <c r="F357" i="84"/>
  <c r="H668" i="84"/>
  <c r="G660" i="84"/>
  <c r="E145" i="84"/>
  <c r="E133" i="84"/>
  <c r="I666" i="84"/>
  <c r="I668" i="84"/>
  <c r="I649" i="84"/>
  <c r="I654" i="84"/>
  <c r="H319" i="84"/>
  <c r="I644" i="84"/>
  <c r="J653" i="84"/>
  <c r="I251" i="84"/>
  <c r="J648" i="84"/>
  <c r="I245" i="84"/>
  <c r="J655" i="84"/>
  <c r="I374" i="84"/>
  <c r="J650" i="84"/>
  <c r="I368" i="84"/>
  <c r="G659" i="84"/>
  <c r="G661" i="84"/>
  <c r="F143" i="84"/>
  <c r="F174" i="84"/>
  <c r="F176" i="84"/>
  <c r="E164" i="84"/>
  <c r="F293" i="84"/>
  <c r="G292" i="84"/>
  <c r="H262" i="84"/>
  <c r="H265" i="84"/>
  <c r="H297" i="84"/>
  <c r="H256" i="84"/>
  <c r="H259" i="84"/>
  <c r="H296" i="84"/>
  <c r="H244" i="84"/>
  <c r="H247" i="84"/>
  <c r="H294" i="84"/>
  <c r="H250" i="84"/>
  <c r="H253" i="84"/>
  <c r="H295" i="84"/>
  <c r="G312" i="84"/>
  <c r="G315" i="84"/>
  <c r="G354" i="84"/>
  <c r="G318" i="84"/>
  <c r="G321" i="84"/>
  <c r="G355" i="84"/>
  <c r="E353" i="84"/>
  <c r="F352" i="84"/>
  <c r="G324" i="84"/>
  <c r="G327" i="84"/>
  <c r="G356" i="84"/>
  <c r="G264" i="84"/>
  <c r="G147" i="84"/>
  <c r="G149" i="84"/>
  <c r="G252" i="84"/>
  <c r="G139" i="84"/>
  <c r="G141" i="84"/>
  <c r="F320" i="84"/>
  <c r="F170" i="84"/>
  <c r="F172" i="84"/>
  <c r="G258" i="84"/>
  <c r="F314" i="84"/>
  <c r="F166" i="84"/>
  <c r="F168" i="84"/>
  <c r="G246" i="84"/>
  <c r="G135" i="84"/>
  <c r="G137" i="84"/>
  <c r="F326" i="84"/>
  <c r="F200" i="84"/>
  <c r="F202" i="84"/>
  <c r="J676" i="84"/>
  <c r="I263" i="84"/>
  <c r="J671" i="84"/>
  <c r="I257" i="84"/>
  <c r="J678" i="84"/>
  <c r="I386" i="84"/>
  <c r="J673" i="84"/>
  <c r="I380" i="84"/>
  <c r="H661" i="84"/>
  <c r="H659" i="84"/>
  <c r="H660" i="84"/>
  <c r="H658" i="84"/>
  <c r="H313" i="84"/>
  <c r="J632" i="84"/>
  <c r="J642" i="84"/>
  <c r="J644" i="84"/>
  <c r="J636" i="84"/>
  <c r="J666" i="84"/>
  <c r="J630" i="84"/>
  <c r="J634" i="84"/>
  <c r="I617" i="84"/>
  <c r="I614" i="84"/>
  <c r="H545" i="84"/>
  <c r="H511" i="84"/>
  <c r="H514" i="84"/>
  <c r="J96" i="84"/>
  <c r="J95" i="84"/>
  <c r="J97" i="84"/>
  <c r="J103" i="84"/>
  <c r="J101" i="84"/>
  <c r="G604" i="84"/>
  <c r="I106" i="84"/>
  <c r="H107" i="84"/>
  <c r="G605" i="84"/>
  <c r="I107" i="84"/>
  <c r="H558" i="84"/>
  <c r="H516" i="84"/>
  <c r="H519" i="84"/>
  <c r="H570" i="84"/>
  <c r="H521" i="84"/>
  <c r="H524" i="84"/>
  <c r="H605" i="84"/>
  <c r="J107" i="84"/>
  <c r="G536" i="84"/>
  <c r="I94" i="84"/>
  <c r="H594" i="84"/>
  <c r="H531" i="84"/>
  <c r="H534" i="84"/>
  <c r="H582" i="84"/>
  <c r="H526" i="84"/>
  <c r="H529" i="84"/>
  <c r="I440" i="84"/>
  <c r="I456" i="84"/>
  <c r="I455" i="84"/>
  <c r="I228" i="84"/>
  <c r="I230" i="84"/>
  <c r="I420" i="84"/>
  <c r="I419" i="84"/>
  <c r="I215" i="84"/>
  <c r="I217" i="84"/>
  <c r="G330" i="84"/>
  <c r="G333" i="84"/>
  <c r="G357" i="84"/>
  <c r="G662" i="84"/>
  <c r="G98" i="84"/>
  <c r="H662" i="84"/>
  <c r="I672" i="84"/>
  <c r="H325" i="84"/>
  <c r="I677" i="84"/>
  <c r="H331" i="84"/>
  <c r="F332" i="84"/>
  <c r="F178" i="84"/>
  <c r="F180" i="84"/>
  <c r="H675" i="84"/>
  <c r="H682" i="84"/>
  <c r="H670" i="84"/>
  <c r="H681" i="84"/>
  <c r="I670" i="84"/>
  <c r="I681" i="84"/>
  <c r="I675" i="84"/>
  <c r="I682" i="84"/>
  <c r="F145" i="84"/>
  <c r="F133" i="84"/>
  <c r="J652" i="84"/>
  <c r="J659" i="84"/>
  <c r="J647" i="84"/>
  <c r="I652" i="84"/>
  <c r="I647" i="84"/>
  <c r="I658" i="84"/>
  <c r="J654" i="84"/>
  <c r="I319" i="84"/>
  <c r="J649" i="84"/>
  <c r="I313" i="84"/>
  <c r="F164" i="84"/>
  <c r="G143" i="84"/>
  <c r="G174" i="84"/>
  <c r="G176" i="84"/>
  <c r="I250" i="84"/>
  <c r="I253" i="84"/>
  <c r="I295" i="84"/>
  <c r="I256" i="84"/>
  <c r="I259" i="84"/>
  <c r="I296" i="84"/>
  <c r="I244" i="84"/>
  <c r="I247" i="84"/>
  <c r="I294" i="84"/>
  <c r="I262" i="84"/>
  <c r="I265" i="84"/>
  <c r="I297" i="84"/>
  <c r="G293" i="84"/>
  <c r="H292" i="84"/>
  <c r="H318" i="84"/>
  <c r="H321" i="84"/>
  <c r="H355" i="84"/>
  <c r="F353" i="84"/>
  <c r="G352" i="84"/>
  <c r="H312" i="84"/>
  <c r="H315" i="84"/>
  <c r="H354" i="84"/>
  <c r="H324" i="84"/>
  <c r="H330" i="84"/>
  <c r="G326" i="84"/>
  <c r="G200" i="84"/>
  <c r="G202" i="84"/>
  <c r="H252" i="84"/>
  <c r="H139" i="84"/>
  <c r="H141" i="84"/>
  <c r="H258" i="84"/>
  <c r="G332" i="84"/>
  <c r="G178" i="84"/>
  <c r="G180" i="84"/>
  <c r="G314" i="84"/>
  <c r="G166" i="84"/>
  <c r="G168" i="84"/>
  <c r="G320" i="84"/>
  <c r="G170" i="84"/>
  <c r="G172" i="84"/>
  <c r="H246" i="84"/>
  <c r="H135" i="84"/>
  <c r="H137" i="84"/>
  <c r="H264" i="84"/>
  <c r="H147" i="84"/>
  <c r="H149" i="84"/>
  <c r="J677" i="84"/>
  <c r="I331" i="84"/>
  <c r="J672" i="84"/>
  <c r="I325" i="84"/>
  <c r="J668" i="84"/>
  <c r="I660" i="84"/>
  <c r="H604" i="84"/>
  <c r="J106" i="84"/>
  <c r="H536" i="84"/>
  <c r="J94" i="84"/>
  <c r="I441" i="84"/>
  <c r="I470" i="84"/>
  <c r="J661" i="84"/>
  <c r="H327" i="84"/>
  <c r="H356" i="84"/>
  <c r="H683" i="84"/>
  <c r="H98" i="84"/>
  <c r="I683" i="84"/>
  <c r="H333" i="84"/>
  <c r="H357" i="84"/>
  <c r="G145" i="84"/>
  <c r="G133" i="84"/>
  <c r="I661" i="84"/>
  <c r="I659" i="84"/>
  <c r="G164" i="84"/>
  <c r="H143" i="84"/>
  <c r="H174" i="84"/>
  <c r="H176" i="84"/>
  <c r="I264" i="84"/>
  <c r="I147" i="84"/>
  <c r="I149" i="84"/>
  <c r="I258" i="84"/>
  <c r="I246" i="84"/>
  <c r="I135" i="84"/>
  <c r="I137" i="84"/>
  <c r="I252" i="84"/>
  <c r="I139" i="84"/>
  <c r="I141" i="84"/>
  <c r="H293" i="84"/>
  <c r="I292" i="84"/>
  <c r="I318" i="84"/>
  <c r="I321" i="84"/>
  <c r="I355" i="84"/>
  <c r="I312" i="84"/>
  <c r="I315" i="84"/>
  <c r="I354" i="84"/>
  <c r="I324" i="84"/>
  <c r="I327" i="84"/>
  <c r="I356" i="84"/>
  <c r="G353" i="84"/>
  <c r="H352" i="84"/>
  <c r="H320" i="84"/>
  <c r="H170" i="84"/>
  <c r="H172" i="84"/>
  <c r="H314" i="84"/>
  <c r="H166" i="84"/>
  <c r="H168" i="84"/>
  <c r="H326" i="84"/>
  <c r="H200" i="84"/>
  <c r="H202" i="84"/>
  <c r="J675" i="84"/>
  <c r="J682" i="84"/>
  <c r="J670" i="84"/>
  <c r="J681" i="84"/>
  <c r="J660" i="84"/>
  <c r="J658" i="84"/>
  <c r="J662" i="84"/>
  <c r="H332" i="84"/>
  <c r="H178" i="84"/>
  <c r="H180" i="84"/>
  <c r="H164" i="84"/>
  <c r="I330" i="84"/>
  <c r="I333" i="84"/>
  <c r="I357" i="84"/>
  <c r="J683" i="84"/>
  <c r="J98" i="84"/>
  <c r="I662" i="84"/>
  <c r="I98" i="84"/>
  <c r="H145" i="84"/>
  <c r="H133" i="84"/>
  <c r="I143" i="84"/>
  <c r="I145" i="84"/>
  <c r="I133" i="84"/>
  <c r="I174" i="84"/>
  <c r="I176" i="84"/>
  <c r="I293" i="84"/>
  <c r="I332" i="84"/>
  <c r="I178" i="84"/>
  <c r="I180" i="84"/>
  <c r="I314" i="84"/>
  <c r="I166" i="84"/>
  <c r="I168" i="84"/>
  <c r="H353" i="84"/>
  <c r="I352" i="84"/>
  <c r="I320" i="84"/>
  <c r="I170" i="84"/>
  <c r="I172" i="84"/>
  <c r="I326" i="84"/>
  <c r="I200" i="84"/>
  <c r="I202" i="84"/>
  <c r="C31" i="53"/>
  <c r="C84" i="53"/>
  <c r="D152" i="53"/>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6" i="57"/>
  <c r="F77" i="57"/>
  <c r="F78" i="57"/>
  <c r="F79" i="57"/>
  <c r="F80" i="57"/>
  <c r="F81" i="57"/>
  <c r="F90" i="57"/>
  <c r="F91" i="57"/>
  <c r="F92" i="57"/>
  <c r="F93" i="57"/>
  <c r="F94" i="57"/>
  <c r="F95" i="57"/>
  <c r="F104" i="57"/>
  <c r="F105" i="57"/>
  <c r="F106" i="57"/>
  <c r="H55" i="57"/>
  <c r="B283" i="55"/>
  <c r="B5" i="55"/>
  <c r="B63" i="55"/>
  <c r="B89" i="55"/>
  <c r="B141" i="55"/>
  <c r="D199" i="55"/>
  <c r="D255" i="55"/>
  <c r="D279" i="55"/>
  <c r="D280" i="55"/>
  <c r="H65" i="57"/>
  <c r="V11" i="61"/>
  <c r="C30" i="53"/>
  <c r="C83" i="53"/>
  <c r="D205" i="53"/>
  <c r="D214" i="53"/>
  <c r="D243" i="53"/>
  <c r="C182" i="53"/>
  <c r="B162" i="55"/>
  <c r="D221" i="55"/>
  <c r="B163" i="55"/>
  <c r="D222" i="55"/>
  <c r="B164" i="55"/>
  <c r="D223" i="55"/>
  <c r="D27" i="42"/>
  <c r="D28" i="42"/>
  <c r="C29" i="42"/>
  <c r="D29" i="42"/>
  <c r="D34" i="42"/>
  <c r="J11" i="48"/>
  <c r="J12" i="48"/>
  <c r="J13" i="48"/>
  <c r="J14" i="48"/>
  <c r="J15" i="48"/>
  <c r="J16" i="48"/>
  <c r="J17" i="48"/>
  <c r="M8" i="48"/>
  <c r="M9" i="48"/>
  <c r="M10" i="48"/>
  <c r="M11" i="48"/>
  <c r="M12" i="48"/>
  <c r="M13" i="48"/>
  <c r="M14" i="48"/>
  <c r="M15" i="48"/>
  <c r="M16" i="48"/>
  <c r="M17" i="48"/>
  <c r="D294" i="55"/>
  <c r="D301" i="55"/>
  <c r="B32" i="21"/>
  <c r="B33" i="21"/>
  <c r="D37" i="42"/>
  <c r="D43" i="42"/>
  <c r="B34" i="21"/>
  <c r="E52" i="48"/>
  <c r="E56" i="48"/>
  <c r="B35" i="21"/>
  <c r="D265" i="53"/>
  <c r="D266" i="53"/>
  <c r="D267" i="53"/>
  <c r="D268" i="53"/>
  <c r="D273" i="53"/>
  <c r="B36" i="21"/>
  <c r="C10" i="62"/>
  <c r="C9" i="62"/>
  <c r="C8" i="62"/>
  <c r="C7" i="62"/>
  <c r="C6" i="62"/>
  <c r="C5" i="62"/>
  <c r="H63" i="55"/>
  <c r="E172" i="55"/>
  <c r="F172" i="55"/>
  <c r="G172" i="55"/>
  <c r="H172" i="55"/>
  <c r="I172" i="55"/>
  <c r="J172" i="55"/>
  <c r="H32" i="55"/>
  <c r="H89" i="55"/>
  <c r="J255" i="55"/>
  <c r="H141" i="55"/>
  <c r="G63" i="55"/>
  <c r="G32" i="55"/>
  <c r="G89" i="55"/>
  <c r="I255" i="55"/>
  <c r="I279" i="55"/>
  <c r="I280" i="55"/>
  <c r="F63" i="55"/>
  <c r="F32" i="55"/>
  <c r="F89" i="55"/>
  <c r="H255" i="55"/>
  <c r="H279" i="55"/>
  <c r="H280" i="55"/>
  <c r="E63" i="55"/>
  <c r="E32" i="55"/>
  <c r="E89" i="55"/>
  <c r="G255" i="55"/>
  <c r="G279" i="55"/>
  <c r="G280" i="55"/>
  <c r="D63" i="55"/>
  <c r="D32" i="55"/>
  <c r="D89" i="55"/>
  <c r="F254" i="55"/>
  <c r="F255" i="55"/>
  <c r="F279" i="55"/>
  <c r="F280" i="55"/>
  <c r="D141" i="55"/>
  <c r="C63" i="55"/>
  <c r="C32" i="55"/>
  <c r="C89" i="55"/>
  <c r="E255" i="55"/>
  <c r="E279" i="55"/>
  <c r="E280" i="55"/>
  <c r="E76" i="84"/>
  <c r="E124" i="53"/>
  <c r="F124" i="53"/>
  <c r="G124" i="53"/>
  <c r="H124" i="53"/>
  <c r="I31" i="53"/>
  <c r="I84" i="53"/>
  <c r="H31" i="53"/>
  <c r="H84" i="53"/>
  <c r="G31" i="53"/>
  <c r="G84" i="53"/>
  <c r="F30" i="53"/>
  <c r="F83" i="53"/>
  <c r="F31" i="53"/>
  <c r="F84" i="53"/>
  <c r="G205" i="53"/>
  <c r="G214" i="53"/>
  <c r="G243" i="53"/>
  <c r="E30" i="53"/>
  <c r="E83" i="53"/>
  <c r="E31" i="53"/>
  <c r="E84" i="53"/>
  <c r="F219" i="53"/>
  <c r="F205" i="53"/>
  <c r="F214" i="53"/>
  <c r="F243" i="53"/>
  <c r="D30" i="53"/>
  <c r="D83" i="53"/>
  <c r="D31" i="53"/>
  <c r="D84" i="53"/>
  <c r="E205" i="53"/>
  <c r="E214" i="53"/>
  <c r="E243" i="53"/>
  <c r="F23" i="48"/>
  <c r="G23" i="48"/>
  <c r="H23" i="48"/>
  <c r="E17" i="42"/>
  <c r="F17" i="42"/>
  <c r="G17" i="42"/>
  <c r="F27" i="42"/>
  <c r="F28" i="42"/>
  <c r="F29" i="42"/>
  <c r="F34" i="42"/>
  <c r="E27" i="42"/>
  <c r="E28" i="42"/>
  <c r="E29" i="42"/>
  <c r="E34" i="42"/>
  <c r="C162" i="55"/>
  <c r="E221" i="55"/>
  <c r="C163" i="55"/>
  <c r="E222" i="55"/>
  <c r="C164" i="55"/>
  <c r="E223" i="55"/>
  <c r="F28" i="48"/>
  <c r="F31" i="48"/>
  <c r="F32" i="48"/>
  <c r="F33" i="48"/>
  <c r="F34" i="48"/>
  <c r="F35" i="48"/>
  <c r="F36" i="48"/>
  <c r="F37" i="48"/>
  <c r="F38" i="48"/>
  <c r="C9" i="42"/>
  <c r="C10" i="42"/>
  <c r="E21" i="42"/>
  <c r="E23" i="42"/>
  <c r="F38" i="61"/>
  <c r="D162" i="55"/>
  <c r="F221" i="55"/>
  <c r="D163" i="55"/>
  <c r="F222" i="55"/>
  <c r="D164" i="55"/>
  <c r="F223" i="55"/>
  <c r="G28" i="48"/>
  <c r="G31" i="48"/>
  <c r="G32" i="48"/>
  <c r="G33" i="48"/>
  <c r="G34" i="48"/>
  <c r="G35" i="48"/>
  <c r="G36" i="48"/>
  <c r="G37" i="48"/>
  <c r="G38" i="48"/>
  <c r="D9" i="42"/>
  <c r="D10" i="42"/>
  <c r="F21" i="42"/>
  <c r="F23" i="42"/>
  <c r="G38" i="61"/>
  <c r="E162" i="55"/>
  <c r="G221" i="55"/>
  <c r="E163" i="55"/>
  <c r="G222" i="55"/>
  <c r="E164" i="55"/>
  <c r="G223" i="55"/>
  <c r="E9" i="42"/>
  <c r="E10" i="42"/>
  <c r="G21" i="42"/>
  <c r="G23" i="42"/>
  <c r="H38" i="61"/>
  <c r="F162" i="55"/>
  <c r="H221" i="55"/>
  <c r="F163" i="55"/>
  <c r="H222" i="55"/>
  <c r="F164" i="55"/>
  <c r="H223" i="55"/>
  <c r="F9" i="42"/>
  <c r="F10" i="42"/>
  <c r="G162" i="55"/>
  <c r="I221" i="55"/>
  <c r="G163" i="55"/>
  <c r="I222" i="55"/>
  <c r="G164" i="55"/>
  <c r="I223" i="55"/>
  <c r="G9" i="42"/>
  <c r="G10" i="42"/>
  <c r="H162" i="55"/>
  <c r="J221" i="55"/>
  <c r="H163" i="55"/>
  <c r="J222" i="55"/>
  <c r="H164" i="55"/>
  <c r="J223" i="55"/>
  <c r="H9" i="42"/>
  <c r="H10" i="42"/>
  <c r="A9" i="53"/>
  <c r="C17" i="61"/>
  <c r="H67" i="57"/>
  <c r="V8" i="61"/>
  <c r="V9" i="61"/>
  <c r="V10" i="61"/>
  <c r="V12" i="61"/>
  <c r="V13" i="61"/>
  <c r="U13" i="61"/>
  <c r="U12" i="61"/>
  <c r="U10" i="61"/>
  <c r="U11" i="61"/>
  <c r="U9" i="61"/>
  <c r="O13" i="61"/>
  <c r="P13" i="61"/>
  <c r="Q13" i="61"/>
  <c r="R13" i="61"/>
  <c r="N13" i="61"/>
  <c r="O12" i="61"/>
  <c r="N12" i="61"/>
  <c r="O11" i="61"/>
  <c r="P11" i="61"/>
  <c r="Q11" i="61"/>
  <c r="R11" i="61"/>
  <c r="N11" i="61"/>
  <c r="N10" i="61"/>
  <c r="O10" i="61"/>
  <c r="P10" i="61"/>
  <c r="Q10" i="61"/>
  <c r="R10" i="61"/>
  <c r="O9" i="61"/>
  <c r="P9" i="61"/>
  <c r="Q9" i="61"/>
  <c r="R9" i="61"/>
  <c r="N9" i="61"/>
  <c r="R8" i="61"/>
  <c r="Q8" i="61"/>
  <c r="P8" i="61"/>
  <c r="O8" i="61"/>
  <c r="P12" i="61"/>
  <c r="Q12" i="61"/>
  <c r="R12" i="61"/>
  <c r="C15" i="61"/>
  <c r="C16" i="61"/>
  <c r="E10" i="21"/>
  <c r="D10" i="21"/>
  <c r="E34" i="29"/>
  <c r="C10" i="21"/>
  <c r="D34" i="29"/>
  <c r="B37" i="29"/>
  <c r="B36" i="29"/>
  <c r="B35" i="29"/>
  <c r="B34" i="29"/>
  <c r="B33" i="29"/>
  <c r="B32" i="29"/>
  <c r="C52" i="61"/>
  <c r="C51" i="61"/>
  <c r="C50" i="61"/>
  <c r="C49" i="61"/>
  <c r="C48" i="61"/>
  <c r="C47" i="61"/>
  <c r="A27" i="21"/>
  <c r="A37" i="21"/>
  <c r="A179" i="53"/>
  <c r="A243" i="53"/>
  <c r="A57" i="53"/>
  <c r="A32" i="53"/>
  <c r="A153" i="53"/>
  <c r="A220" i="53"/>
  <c r="A31" i="53"/>
  <c r="A30" i="53"/>
  <c r="A29" i="53"/>
  <c r="A28" i="53"/>
  <c r="A34" i="55"/>
  <c r="A91" i="55"/>
  <c r="A143" i="55"/>
  <c r="A202" i="55"/>
  <c r="A256" i="55"/>
  <c r="A39" i="55"/>
  <c r="A96" i="55"/>
  <c r="A148" i="55"/>
  <c r="A207" i="55"/>
  <c r="A261" i="55"/>
  <c r="A279" i="55"/>
  <c r="A280" i="55"/>
  <c r="A255" i="55"/>
  <c r="A254" i="55"/>
  <c r="A31" i="55"/>
  <c r="A88" i="55"/>
  <c r="A140" i="55"/>
  <c r="A198" i="55"/>
  <c r="A253" i="55"/>
  <c r="A30" i="55"/>
  <c r="A87" i="55"/>
  <c r="A139" i="55"/>
  <c r="A197" i="55"/>
  <c r="A252" i="55"/>
  <c r="A29" i="55"/>
  <c r="A86" i="55"/>
  <c r="A138" i="55"/>
  <c r="A196" i="55"/>
  <c r="A251" i="55"/>
  <c r="A28" i="55"/>
  <c r="A85" i="55"/>
  <c r="A137" i="55"/>
  <c r="A195" i="55"/>
  <c r="A250" i="55"/>
  <c r="E294" i="55"/>
  <c r="E301" i="55"/>
  <c r="C32" i="21"/>
  <c r="C33" i="21"/>
  <c r="E265" i="53"/>
  <c r="E266" i="53"/>
  <c r="E267" i="53"/>
  <c r="E268" i="53"/>
  <c r="E273" i="53"/>
  <c r="C36" i="21"/>
  <c r="E37" i="42"/>
  <c r="E43" i="42"/>
  <c r="C34" i="21"/>
  <c r="F52" i="48"/>
  <c r="F56" i="48"/>
  <c r="C35" i="21"/>
  <c r="F294" i="55"/>
  <c r="F301" i="55"/>
  <c r="D32" i="21"/>
  <c r="D33" i="21"/>
  <c r="F265" i="53"/>
  <c r="F266" i="53"/>
  <c r="F267" i="53"/>
  <c r="F268" i="53"/>
  <c r="F273" i="53"/>
  <c r="D36" i="21"/>
  <c r="F37" i="42"/>
  <c r="F43" i="42"/>
  <c r="D34" i="21"/>
  <c r="G52" i="48"/>
  <c r="G56" i="48"/>
  <c r="D35" i="21"/>
  <c r="G294" i="55"/>
  <c r="G301" i="55"/>
  <c r="E32" i="21"/>
  <c r="E33" i="21"/>
  <c r="G265" i="53"/>
  <c r="G266" i="53"/>
  <c r="G267" i="53"/>
  <c r="G268" i="53"/>
  <c r="G273" i="53"/>
  <c r="E36" i="21"/>
  <c r="G37" i="42"/>
  <c r="G43" i="42"/>
  <c r="E34" i="21"/>
  <c r="H52" i="48"/>
  <c r="H56" i="48"/>
  <c r="E35" i="21"/>
  <c r="H294" i="55"/>
  <c r="H301" i="55"/>
  <c r="F32" i="21"/>
  <c r="F33" i="21"/>
  <c r="H265" i="53"/>
  <c r="H266" i="53"/>
  <c r="H267" i="53"/>
  <c r="H268" i="53"/>
  <c r="H273" i="53"/>
  <c r="F36" i="21"/>
  <c r="I294" i="55"/>
  <c r="I301" i="55"/>
  <c r="G32" i="21"/>
  <c r="G33" i="21"/>
  <c r="J294" i="55"/>
  <c r="J301" i="55"/>
  <c r="H32" i="21"/>
  <c r="H33" i="21"/>
  <c r="A53" i="22"/>
  <c r="A54" i="22"/>
  <c r="A55" i="22"/>
  <c r="A56" i="22"/>
  <c r="H32" i="57"/>
  <c r="C62" i="29"/>
  <c r="D62" i="29"/>
  <c r="E62" i="29"/>
  <c r="F62" i="29"/>
  <c r="G62" i="29"/>
  <c r="H62" i="29"/>
  <c r="I62" i="29"/>
  <c r="F13" i="48"/>
  <c r="F14" i="48"/>
  <c r="F15" i="48"/>
  <c r="F16" i="48"/>
  <c r="F17" i="48"/>
  <c r="A152" i="53"/>
  <c r="A219" i="53"/>
  <c r="A151" i="53"/>
  <c r="A218" i="53"/>
  <c r="A150" i="53"/>
  <c r="A217" i="53"/>
  <c r="A149" i="53"/>
  <c r="A216" i="53"/>
  <c r="A27" i="53"/>
  <c r="A26" i="53"/>
  <c r="A147" i="53"/>
  <c r="A214" i="53"/>
  <c r="A24" i="53"/>
  <c r="A22" i="53"/>
  <c r="A20" i="53"/>
  <c r="A18" i="53"/>
  <c r="A138" i="53"/>
  <c r="A205" i="53"/>
  <c r="A16" i="53"/>
  <c r="A14" i="53"/>
  <c r="A129" i="53"/>
  <c r="A61" i="53"/>
  <c r="A84" i="53"/>
  <c r="A83" i="53"/>
  <c r="A82" i="53"/>
  <c r="A81" i="53"/>
  <c r="A79" i="53"/>
  <c r="A70" i="53"/>
  <c r="A10" i="53"/>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14" i="55"/>
  <c r="A71" i="55"/>
  <c r="A123" i="55"/>
  <c r="A181" i="55"/>
  <c r="A236" i="55"/>
  <c r="A13" i="55"/>
  <c r="A70" i="55"/>
  <c r="A122" i="55"/>
  <c r="A180" i="55"/>
  <c r="A235" i="55"/>
  <c r="A12" i="55"/>
  <c r="A69" i="55"/>
  <c r="A121" i="55"/>
  <c r="A179" i="55"/>
  <c r="A234" i="55"/>
  <c r="A11" i="55"/>
  <c r="A68" i="55"/>
  <c r="A120" i="55"/>
  <c r="A178" i="55"/>
  <c r="A233" i="55"/>
  <c r="A32" i="55"/>
  <c r="A89" i="55"/>
  <c r="A141" i="55"/>
  <c r="A32" i="48"/>
  <c r="A31" i="48"/>
  <c r="A30" i="48"/>
  <c r="A29" i="48"/>
  <c r="A28" i="48"/>
  <c r="M15" i="62"/>
  <c r="M17" i="62"/>
  <c r="B95" i="29"/>
  <c r="B94" i="29"/>
  <c r="B93" i="29"/>
  <c r="B92" i="29"/>
  <c r="A24" i="21"/>
  <c r="A34" i="21"/>
  <c r="A23" i="21"/>
  <c r="A33" i="21"/>
  <c r="A22" i="21"/>
  <c r="A32" i="21"/>
  <c r="A25" i="21"/>
  <c r="A35" i="21"/>
  <c r="A26" i="21"/>
  <c r="A36" i="21"/>
  <c r="F45" i="42"/>
  <c r="F47" i="42"/>
  <c r="E45" i="42"/>
  <c r="D45" i="42"/>
  <c r="H29" i="69"/>
  <c r="B18" i="68"/>
  <c r="B17" i="68"/>
  <c r="A251" i="53"/>
  <c r="A250" i="53"/>
  <c r="A249" i="53"/>
  <c r="A247" i="53"/>
  <c r="A246" i="53"/>
  <c r="A245" i="53"/>
  <c r="A244" i="53"/>
  <c r="A195" i="53"/>
  <c r="E47" i="42"/>
  <c r="D47" i="42"/>
  <c r="F218" i="53"/>
  <c r="F151" i="53"/>
  <c r="E218" i="53"/>
  <c r="E151" i="53"/>
  <c r="G218" i="53"/>
  <c r="G151" i="53"/>
  <c r="E254" i="55"/>
  <c r="C141" i="55"/>
  <c r="D219" i="53"/>
  <c r="F124" i="29"/>
  <c r="F139" i="29"/>
  <c r="F154" i="29"/>
  <c r="F169" i="29"/>
  <c r="F34" i="29"/>
  <c r="D124" i="29"/>
  <c r="D139" i="29"/>
  <c r="D154" i="29"/>
  <c r="D169" i="29"/>
  <c r="E169" i="29"/>
  <c r="E124" i="29"/>
  <c r="E139" i="29"/>
  <c r="E154" i="29"/>
  <c r="I164" i="84"/>
  <c r="I353" i="84"/>
  <c r="F76" i="84"/>
  <c r="E116" i="84"/>
  <c r="E117" i="84"/>
  <c r="G47" i="57"/>
  <c r="F82" i="57"/>
  <c r="D7" i="62"/>
  <c r="C41" i="22"/>
  <c r="F96" i="57"/>
  <c r="D8" i="62"/>
  <c r="C20" i="68"/>
  <c r="F107" i="57"/>
  <c r="D9" i="62"/>
  <c r="G55" i="57"/>
  <c r="G32" i="57"/>
  <c r="O16" i="61"/>
  <c r="R16" i="61"/>
  <c r="Q16" i="61"/>
  <c r="P16" i="61"/>
  <c r="E81" i="84"/>
  <c r="C14" i="21"/>
  <c r="V16" i="61"/>
  <c r="A49" i="55"/>
  <c r="A106" i="55"/>
  <c r="A158" i="55"/>
  <c r="A217" i="55"/>
  <c r="A271" i="55"/>
  <c r="A45" i="55"/>
  <c r="A102" i="55"/>
  <c r="A154" i="55"/>
  <c r="A213" i="55"/>
  <c r="A267" i="55"/>
  <c r="A51" i="55"/>
  <c r="A108" i="55"/>
  <c r="A160" i="55"/>
  <c r="A219" i="55"/>
  <c r="A273" i="55"/>
  <c r="A55" i="55"/>
  <c r="A112" i="55"/>
  <c r="A164" i="55"/>
  <c r="A223" i="55"/>
  <c r="A59" i="55"/>
  <c r="A116" i="55"/>
  <c r="A168" i="55"/>
  <c r="A227" i="55"/>
  <c r="A278" i="55"/>
  <c r="A43" i="55"/>
  <c r="A100" i="55"/>
  <c r="A152" i="55"/>
  <c r="A211" i="55"/>
  <c r="A265" i="55"/>
  <c r="A53" i="53"/>
  <c r="A174" i="53"/>
  <c r="A55" i="53"/>
  <c r="A176" i="53"/>
  <c r="A240" i="53"/>
  <c r="A58" i="55"/>
  <c r="A115" i="55"/>
  <c r="A167" i="55"/>
  <c r="A226" i="55"/>
  <c r="A277" i="55"/>
  <c r="A47" i="55"/>
  <c r="A104" i="55"/>
  <c r="A156" i="55"/>
  <c r="A215" i="55"/>
  <c r="A269" i="55"/>
  <c r="A54" i="55"/>
  <c r="A111" i="55"/>
  <c r="A163" i="55"/>
  <c r="A222" i="55"/>
  <c r="A56" i="55"/>
  <c r="A113" i="55"/>
  <c r="A165" i="55"/>
  <c r="A224" i="55"/>
  <c r="A275" i="55"/>
  <c r="A57" i="55"/>
  <c r="A114" i="55"/>
  <c r="A166" i="55"/>
  <c r="A225" i="55"/>
  <c r="A276" i="55"/>
  <c r="A44" i="53"/>
  <c r="A165" i="53"/>
  <c r="A232" i="53"/>
  <c r="A52" i="53"/>
  <c r="A173" i="53"/>
  <c r="A36" i="53"/>
  <c r="A89" i="53"/>
  <c r="A40" i="53"/>
  <c r="A161" i="53"/>
  <c r="A228" i="53"/>
  <c r="A48" i="53"/>
  <c r="A101" i="53"/>
  <c r="A34" i="53"/>
  <c r="A155" i="53"/>
  <c r="A222" i="53"/>
  <c r="A38" i="53"/>
  <c r="A159" i="53"/>
  <c r="A226" i="53"/>
  <c r="A42" i="53"/>
  <c r="A95" i="53"/>
  <c r="A46" i="53"/>
  <c r="A167" i="53"/>
  <c r="A234" i="53"/>
  <c r="A50" i="53"/>
  <c r="A103" i="53"/>
  <c r="A85" i="53"/>
  <c r="A50" i="55"/>
  <c r="A107" i="55"/>
  <c r="A159" i="55"/>
  <c r="A218" i="55"/>
  <c r="A272" i="55"/>
  <c r="A46" i="55"/>
  <c r="A103" i="55"/>
  <c r="A155" i="55"/>
  <c r="A214" i="55"/>
  <c r="A268" i="55"/>
  <c r="A42" i="55"/>
  <c r="A99" i="55"/>
  <c r="A151" i="55"/>
  <c r="A210" i="55"/>
  <c r="A264" i="55"/>
  <c r="A38" i="55"/>
  <c r="A95" i="55"/>
  <c r="A147" i="55"/>
  <c r="A206" i="55"/>
  <c r="A260" i="55"/>
  <c r="A41" i="55"/>
  <c r="A98" i="55"/>
  <c r="A150" i="55"/>
  <c r="A209" i="55"/>
  <c r="A263" i="55"/>
  <c r="A37" i="55"/>
  <c r="A94" i="55"/>
  <c r="A146" i="55"/>
  <c r="A205" i="55"/>
  <c r="A259" i="55"/>
  <c r="A53" i="55"/>
  <c r="A110" i="55"/>
  <c r="A162" i="55"/>
  <c r="A221" i="55"/>
  <c r="A52" i="55"/>
  <c r="A109" i="55"/>
  <c r="A161" i="55"/>
  <c r="A220" i="55"/>
  <c r="A274" i="55"/>
  <c r="A48" i="55"/>
  <c r="A105" i="55"/>
  <c r="A157" i="55"/>
  <c r="A216" i="55"/>
  <c r="A270" i="55"/>
  <c r="A44" i="55"/>
  <c r="A101" i="55"/>
  <c r="A153" i="55"/>
  <c r="A212" i="55"/>
  <c r="A266" i="55"/>
  <c r="A40" i="55"/>
  <c r="A97" i="55"/>
  <c r="A149" i="55"/>
  <c r="A208" i="55"/>
  <c r="A262" i="55"/>
  <c r="A36" i="55"/>
  <c r="A93" i="55"/>
  <c r="A145" i="55"/>
  <c r="A204" i="55"/>
  <c r="A258" i="55"/>
  <c r="A141" i="53"/>
  <c r="A208" i="53"/>
  <c r="A73" i="53"/>
  <c r="A25" i="53"/>
  <c r="A148" i="53"/>
  <c r="A215" i="53"/>
  <c r="A80" i="53"/>
  <c r="A12" i="53"/>
  <c r="A15" i="53"/>
  <c r="A139" i="53"/>
  <c r="A206" i="53"/>
  <c r="A71" i="53"/>
  <c r="A23" i="53"/>
  <c r="A11" i="53"/>
  <c r="A13" i="53"/>
  <c r="A137" i="53"/>
  <c r="A204" i="53"/>
  <c r="A69" i="53"/>
  <c r="A21" i="53"/>
  <c r="A145" i="53"/>
  <c r="A212" i="53"/>
  <c r="A77" i="53"/>
  <c r="A63" i="53"/>
  <c r="A131" i="53"/>
  <c r="A198" i="53"/>
  <c r="A135" i="53"/>
  <c r="A202" i="53"/>
  <c r="A67" i="53"/>
  <c r="A19" i="53"/>
  <c r="A143" i="53"/>
  <c r="A210" i="53"/>
  <c r="A75" i="53"/>
  <c r="A56" i="53"/>
  <c r="A130" i="53"/>
  <c r="A197" i="53"/>
  <c r="A62" i="53"/>
  <c r="A110" i="53"/>
  <c r="A178" i="53"/>
  <c r="A242" i="53"/>
  <c r="A51" i="53"/>
  <c r="A33" i="53"/>
  <c r="A35" i="53"/>
  <c r="A37" i="53"/>
  <c r="A39" i="53"/>
  <c r="A41" i="53"/>
  <c r="A43" i="53"/>
  <c r="A45" i="53"/>
  <c r="A47" i="53"/>
  <c r="A49" i="53"/>
  <c r="A157" i="53"/>
  <c r="A224" i="53"/>
  <c r="A54" i="53"/>
  <c r="D24" i="21"/>
  <c r="G51" i="61"/>
  <c r="H31" i="48"/>
  <c r="H35" i="48"/>
  <c r="I23" i="48"/>
  <c r="H28" i="48"/>
  <c r="H32" i="48"/>
  <c r="H36" i="48"/>
  <c r="H33" i="48"/>
  <c r="H37" i="48"/>
  <c r="H34" i="48"/>
  <c r="H38" i="48"/>
  <c r="A35" i="55"/>
  <c r="A92" i="55"/>
  <c r="A144" i="55"/>
  <c r="A203" i="55"/>
  <c r="A257" i="55"/>
  <c r="C24" i="21"/>
  <c r="F51" i="61"/>
  <c r="G28" i="42"/>
  <c r="G29" i="42"/>
  <c r="H17" i="42"/>
  <c r="H21" i="42"/>
  <c r="H23" i="42"/>
  <c r="G27" i="42"/>
  <c r="H152" i="53"/>
  <c r="G219" i="53"/>
  <c r="G152" i="53"/>
  <c r="F152" i="53"/>
  <c r="E152" i="53"/>
  <c r="E219" i="53"/>
  <c r="I124" i="53"/>
  <c r="H205" i="53"/>
  <c r="H214" i="53"/>
  <c r="H243" i="53"/>
  <c r="G30" i="53"/>
  <c r="G83" i="53"/>
  <c r="H219" i="53"/>
  <c r="I219" i="53"/>
  <c r="G141" i="55"/>
  <c r="I254" i="55"/>
  <c r="F141" i="55"/>
  <c r="E141" i="55"/>
  <c r="H199" i="55"/>
  <c r="H254" i="55"/>
  <c r="G199" i="55"/>
  <c r="G254" i="55"/>
  <c r="E51" i="61"/>
  <c r="B24" i="21"/>
  <c r="J10" i="48"/>
  <c r="J279" i="55"/>
  <c r="J280" i="55"/>
  <c r="J254" i="55"/>
  <c r="C44" i="48"/>
  <c r="J8" i="48"/>
  <c r="G12" i="57"/>
  <c r="D5" i="62"/>
  <c r="J9" i="48"/>
  <c r="B10" i="21"/>
  <c r="D151" i="53"/>
  <c r="D218" i="53"/>
  <c r="D254" i="55"/>
  <c r="F199" i="55"/>
  <c r="E199" i="55"/>
  <c r="C19" i="68"/>
  <c r="C124" i="29"/>
  <c r="C139" i="29"/>
  <c r="C154" i="29"/>
  <c r="C169" i="29"/>
  <c r="G76" i="84"/>
  <c r="F116" i="84"/>
  <c r="F117" i="84"/>
  <c r="F7" i="62"/>
  <c r="G67" i="57"/>
  <c r="D115" i="84"/>
  <c r="F8" i="62"/>
  <c r="C42" i="22"/>
  <c r="C43" i="22"/>
  <c r="G42" i="22"/>
  <c r="K41" i="22"/>
  <c r="D42" i="22"/>
  <c r="E42" i="22"/>
  <c r="F42" i="22"/>
  <c r="H42" i="22"/>
  <c r="I42" i="22"/>
  <c r="C44" i="22"/>
  <c r="D41" i="22"/>
  <c r="C53" i="22"/>
  <c r="D54" i="22"/>
  <c r="F9" i="62"/>
  <c r="C47" i="22"/>
  <c r="C21" i="68"/>
  <c r="F81" i="84"/>
  <c r="D14" i="21"/>
  <c r="A169" i="53"/>
  <c r="A236" i="53"/>
  <c r="A99" i="53"/>
  <c r="A97" i="53"/>
  <c r="A91" i="53"/>
  <c r="A163" i="53"/>
  <c r="A230" i="53"/>
  <c r="A87" i="53"/>
  <c r="A106" i="53"/>
  <c r="A171" i="53"/>
  <c r="A238" i="53"/>
  <c r="A105" i="53"/>
  <c r="A93" i="53"/>
  <c r="A108" i="53"/>
  <c r="C40" i="53"/>
  <c r="C93" i="53"/>
  <c r="F10" i="21"/>
  <c r="I38" i="61"/>
  <c r="C34" i="29"/>
  <c r="G30" i="48"/>
  <c r="I30" i="48"/>
  <c r="F30" i="48"/>
  <c r="H30" i="48"/>
  <c r="H218" i="53"/>
  <c r="H151" i="53"/>
  <c r="A175" i="53"/>
  <c r="A239" i="53"/>
  <c r="A107" i="53"/>
  <c r="A154" i="53"/>
  <c r="A221" i="53"/>
  <c r="A86" i="53"/>
  <c r="A172" i="53"/>
  <c r="A104" i="53"/>
  <c r="A133" i="53"/>
  <c r="A200" i="53"/>
  <c r="A65" i="53"/>
  <c r="C29" i="22"/>
  <c r="F5" i="62"/>
  <c r="C17" i="68"/>
  <c r="C43" i="48"/>
  <c r="I30" i="53"/>
  <c r="I83" i="53"/>
  <c r="H30" i="53"/>
  <c r="H83" i="53"/>
  <c r="J124" i="53"/>
  <c r="I205" i="53"/>
  <c r="I214" i="53"/>
  <c r="I243" i="53"/>
  <c r="I268" i="53"/>
  <c r="I152" i="53"/>
  <c r="I267" i="53"/>
  <c r="I265" i="53"/>
  <c r="I266" i="53"/>
  <c r="I273" i="53"/>
  <c r="G36" i="21"/>
  <c r="I33" i="48"/>
  <c r="I37" i="48"/>
  <c r="I34" i="48"/>
  <c r="I38" i="48"/>
  <c r="J23" i="48"/>
  <c r="I31" i="48"/>
  <c r="I35" i="48"/>
  <c r="I28" i="48"/>
  <c r="I32" i="48"/>
  <c r="I36" i="48"/>
  <c r="I52" i="48"/>
  <c r="I56" i="48"/>
  <c r="F35" i="21"/>
  <c r="A170" i="53"/>
  <c r="A237" i="53"/>
  <c r="A102" i="53"/>
  <c r="A166" i="53"/>
  <c r="A233" i="53"/>
  <c r="A98" i="53"/>
  <c r="A162" i="53"/>
  <c r="A229" i="53"/>
  <c r="A94" i="53"/>
  <c r="A158" i="53"/>
  <c r="A225" i="53"/>
  <c r="A90" i="53"/>
  <c r="A177" i="53"/>
  <c r="A241" i="53"/>
  <c r="A109" i="53"/>
  <c r="A66" i="53"/>
  <c r="A134" i="53"/>
  <c r="A201" i="53"/>
  <c r="A78" i="53"/>
  <c r="A146" i="53"/>
  <c r="A213" i="53"/>
  <c r="G29" i="48"/>
  <c r="G39" i="48"/>
  <c r="I29" i="48"/>
  <c r="F29" i="48"/>
  <c r="F39" i="48"/>
  <c r="H29" i="48"/>
  <c r="H39" i="48"/>
  <c r="J29" i="48"/>
  <c r="E44" i="48"/>
  <c r="H44" i="48"/>
  <c r="I44" i="48"/>
  <c r="J44" i="48"/>
  <c r="F44" i="48"/>
  <c r="G44" i="48"/>
  <c r="C41" i="53"/>
  <c r="C94" i="53"/>
  <c r="G34" i="42"/>
  <c r="A164" i="53"/>
  <c r="A231" i="53"/>
  <c r="A96" i="53"/>
  <c r="A160" i="53"/>
  <c r="A227" i="53"/>
  <c r="A92" i="53"/>
  <c r="A156" i="53"/>
  <c r="A223" i="53"/>
  <c r="A88" i="53"/>
  <c r="A72" i="53"/>
  <c r="A140" i="53"/>
  <c r="A207" i="53"/>
  <c r="A74" i="53"/>
  <c r="A142" i="53"/>
  <c r="A209" i="53"/>
  <c r="A76" i="53"/>
  <c r="A144" i="53"/>
  <c r="A211" i="53"/>
  <c r="A68" i="53"/>
  <c r="A136" i="53"/>
  <c r="A203" i="53"/>
  <c r="C39" i="53"/>
  <c r="C92" i="53"/>
  <c r="I199" i="55"/>
  <c r="J199" i="55"/>
  <c r="I17" i="42"/>
  <c r="H27" i="42"/>
  <c r="H28" i="42"/>
  <c r="H29" i="42"/>
  <c r="H37" i="42"/>
  <c r="H43" i="42"/>
  <c r="F34" i="21"/>
  <c r="A168" i="53"/>
  <c r="A235" i="53"/>
  <c r="A100" i="53"/>
  <c r="A132" i="53"/>
  <c r="A199" i="53"/>
  <c r="A64" i="53"/>
  <c r="G124" i="29"/>
  <c r="G139" i="29"/>
  <c r="G154" i="29"/>
  <c r="G169" i="29"/>
  <c r="E54" i="22"/>
  <c r="E115" i="84"/>
  <c r="F115" i="84"/>
  <c r="D114" i="84"/>
  <c r="F114" i="84"/>
  <c r="H76" i="84"/>
  <c r="G115" i="84"/>
  <c r="G116" i="84"/>
  <c r="G117" i="84"/>
  <c r="I54" i="22"/>
  <c r="D6" i="62"/>
  <c r="F6" i="62"/>
  <c r="D114" i="57"/>
  <c r="D119" i="57"/>
  <c r="D10" i="62"/>
  <c r="G54" i="22"/>
  <c r="K53" i="22"/>
  <c r="K54" i="22"/>
  <c r="K55" i="22"/>
  <c r="F54" i="22"/>
  <c r="C54" i="22"/>
  <c r="C55" i="22"/>
  <c r="D55" i="22"/>
  <c r="E55" i="22"/>
  <c r="D44" i="22"/>
  <c r="E41" i="22"/>
  <c r="E44" i="22"/>
  <c r="D43" i="22"/>
  <c r="E43" i="22"/>
  <c r="F43" i="22"/>
  <c r="G43" i="22"/>
  <c r="H54" i="22"/>
  <c r="K42" i="22"/>
  <c r="K43" i="22"/>
  <c r="C48" i="22"/>
  <c r="C49" i="22"/>
  <c r="K47" i="22"/>
  <c r="E48" i="22"/>
  <c r="I48" i="22"/>
  <c r="C50" i="22"/>
  <c r="D47" i="22"/>
  <c r="D48" i="22"/>
  <c r="F48" i="22"/>
  <c r="H48" i="22"/>
  <c r="G48" i="22"/>
  <c r="G81" i="84"/>
  <c r="E14" i="21"/>
  <c r="C33" i="53"/>
  <c r="C86" i="53"/>
  <c r="D221" i="53"/>
  <c r="C35" i="53"/>
  <c r="C88" i="53"/>
  <c r="H35" i="61"/>
  <c r="E11" i="21"/>
  <c r="D161" i="53"/>
  <c r="D228" i="53"/>
  <c r="C57" i="53"/>
  <c r="C110" i="53"/>
  <c r="C34" i="53"/>
  <c r="C87" i="53"/>
  <c r="B11" i="21"/>
  <c r="C9" i="53"/>
  <c r="C62" i="53"/>
  <c r="C15" i="53"/>
  <c r="C68" i="53"/>
  <c r="C36" i="53"/>
  <c r="C89" i="53"/>
  <c r="D33" i="53"/>
  <c r="D86" i="53"/>
  <c r="D39" i="53"/>
  <c r="D92" i="53"/>
  <c r="C16" i="53"/>
  <c r="C69" i="53"/>
  <c r="C13" i="53"/>
  <c r="C66" i="53"/>
  <c r="F35" i="61"/>
  <c r="C11" i="21"/>
  <c r="J219" i="53"/>
  <c r="J214" i="53"/>
  <c r="J243" i="53"/>
  <c r="J205" i="53"/>
  <c r="J152" i="53"/>
  <c r="J268" i="53"/>
  <c r="J265" i="53"/>
  <c r="J266" i="53"/>
  <c r="J267" i="53"/>
  <c r="B35" i="55"/>
  <c r="C10" i="53"/>
  <c r="C63" i="53"/>
  <c r="C30" i="22"/>
  <c r="C31" i="22"/>
  <c r="F30" i="22"/>
  <c r="E30" i="22"/>
  <c r="D30" i="22"/>
  <c r="H30" i="22"/>
  <c r="G30" i="22"/>
  <c r="I30" i="22"/>
  <c r="K29" i="22"/>
  <c r="C37" i="53"/>
  <c r="C90" i="53"/>
  <c r="H34" i="42"/>
  <c r="B43" i="55"/>
  <c r="B100" i="55"/>
  <c r="D160" i="53"/>
  <c r="D227" i="53"/>
  <c r="C38" i="53"/>
  <c r="C91" i="53"/>
  <c r="C56" i="53"/>
  <c r="C109" i="53"/>
  <c r="H51" i="61"/>
  <c r="E24" i="21"/>
  <c r="G45" i="42"/>
  <c r="G47" i="42"/>
  <c r="D41" i="53"/>
  <c r="D94" i="53"/>
  <c r="C54" i="53"/>
  <c r="C107" i="53"/>
  <c r="J33" i="48"/>
  <c r="K23" i="48"/>
  <c r="J35" i="48"/>
  <c r="J31" i="48"/>
  <c r="J36" i="48"/>
  <c r="J32" i="48"/>
  <c r="J37" i="48"/>
  <c r="J28" i="48"/>
  <c r="J34" i="48"/>
  <c r="J38" i="48"/>
  <c r="J52" i="48"/>
  <c r="J56" i="48"/>
  <c r="G35" i="21"/>
  <c r="I218" i="53"/>
  <c r="I151" i="53"/>
  <c r="E43" i="48"/>
  <c r="E49" i="48"/>
  <c r="K43" i="48"/>
  <c r="I43" i="48"/>
  <c r="I49" i="48"/>
  <c r="J43" i="48"/>
  <c r="J49" i="48"/>
  <c r="F43" i="48"/>
  <c r="F49" i="48"/>
  <c r="G43" i="48"/>
  <c r="G49" i="48"/>
  <c r="H43" i="48"/>
  <c r="H49" i="48"/>
  <c r="C55" i="53"/>
  <c r="C108" i="53"/>
  <c r="B42" i="55"/>
  <c r="B99" i="55"/>
  <c r="J30" i="48"/>
  <c r="B41" i="55"/>
  <c r="B98" i="55"/>
  <c r="J17" i="42"/>
  <c r="I27" i="42"/>
  <c r="I28" i="42"/>
  <c r="I29" i="42"/>
  <c r="I37" i="42"/>
  <c r="I43" i="42"/>
  <c r="G34" i="21"/>
  <c r="I21" i="42"/>
  <c r="I23" i="42"/>
  <c r="C12" i="53"/>
  <c r="C65" i="53"/>
  <c r="C11" i="53"/>
  <c r="C64" i="53"/>
  <c r="D162" i="53"/>
  <c r="D229" i="53"/>
  <c r="G35" i="61"/>
  <c r="D11" i="21"/>
  <c r="I39" i="48"/>
  <c r="J218" i="53"/>
  <c r="J151" i="53"/>
  <c r="C14" i="53"/>
  <c r="C67" i="53"/>
  <c r="G34" i="29"/>
  <c r="I78" i="22"/>
  <c r="E78" i="22"/>
  <c r="H78" i="22"/>
  <c r="D78" i="22"/>
  <c r="G78" i="22"/>
  <c r="F78" i="22"/>
  <c r="C78" i="22"/>
  <c r="E20" i="62"/>
  <c r="D4" i="23"/>
  <c r="D8" i="23"/>
  <c r="E140" i="29"/>
  <c r="E155" i="29"/>
  <c r="E170" i="29"/>
  <c r="E125" i="29"/>
  <c r="D140" i="29"/>
  <c r="D155" i="29"/>
  <c r="D170" i="29"/>
  <c r="D125" i="29"/>
  <c r="F170" i="29"/>
  <c r="F140" i="29"/>
  <c r="F155" i="29"/>
  <c r="F125" i="29"/>
  <c r="C125" i="29"/>
  <c r="C155" i="29"/>
  <c r="C170" i="29"/>
  <c r="C140" i="29"/>
  <c r="D118" i="84"/>
  <c r="B37" i="21"/>
  <c r="B40" i="21"/>
  <c r="C131" i="29"/>
  <c r="F118" i="84"/>
  <c r="D37" i="21"/>
  <c r="D40" i="21"/>
  <c r="G114" i="84"/>
  <c r="G118" i="84"/>
  <c r="E114" i="84"/>
  <c r="E118" i="84"/>
  <c r="C37" i="21"/>
  <c r="C40" i="21"/>
  <c r="D131" i="29"/>
  <c r="C56" i="22"/>
  <c r="D53" i="22"/>
  <c r="D56" i="22"/>
  <c r="E53" i="22"/>
  <c r="E56" i="22"/>
  <c r="F53" i="22"/>
  <c r="F56" i="22"/>
  <c r="G53" i="22"/>
  <c r="G56" i="22"/>
  <c r="H53" i="22"/>
  <c r="H56" i="22"/>
  <c r="I53" i="22"/>
  <c r="I56" i="22"/>
  <c r="F55" i="22"/>
  <c r="G55" i="22"/>
  <c r="H55" i="22"/>
  <c r="I55" i="22"/>
  <c r="I76" i="84"/>
  <c r="H117" i="84"/>
  <c r="H114" i="84"/>
  <c r="H116" i="84"/>
  <c r="H115" i="84"/>
  <c r="C32" i="22"/>
  <c r="D29" i="22"/>
  <c r="D32" i="22"/>
  <c r="E29" i="22"/>
  <c r="E32" i="22"/>
  <c r="F29" i="22"/>
  <c r="F32" i="22"/>
  <c r="G29" i="22"/>
  <c r="G32" i="22"/>
  <c r="H29" i="22"/>
  <c r="H32" i="22"/>
  <c r="I29" i="22"/>
  <c r="I32" i="22"/>
  <c r="C35" i="22"/>
  <c r="E36" i="22"/>
  <c r="E58" i="22"/>
  <c r="D46" i="21"/>
  <c r="C18" i="68"/>
  <c r="C22" i="68"/>
  <c r="F10" i="62"/>
  <c r="F12" i="62"/>
  <c r="E19" i="62"/>
  <c r="B35" i="69"/>
  <c r="K44" i="22"/>
  <c r="L41" i="22"/>
  <c r="L42" i="22"/>
  <c r="L44" i="22"/>
  <c r="M41" i="22"/>
  <c r="D50" i="22"/>
  <c r="E47" i="22"/>
  <c r="E50" i="22"/>
  <c r="F47" i="22"/>
  <c r="F50" i="22"/>
  <c r="G47" i="22"/>
  <c r="G50" i="22"/>
  <c r="H47" i="22"/>
  <c r="H50" i="22"/>
  <c r="I47" i="22"/>
  <c r="I50" i="22"/>
  <c r="K48" i="22"/>
  <c r="K49" i="22"/>
  <c r="D49" i="22"/>
  <c r="E49" i="22"/>
  <c r="F49" i="22"/>
  <c r="G49" i="22"/>
  <c r="H49" i="22"/>
  <c r="I49" i="22"/>
  <c r="H81" i="84"/>
  <c r="F14" i="21"/>
  <c r="D40" i="53"/>
  <c r="D93" i="53"/>
  <c r="E161" i="53"/>
  <c r="D154" i="53"/>
  <c r="D223" i="53"/>
  <c r="D156" i="53"/>
  <c r="D35" i="53"/>
  <c r="D88" i="53"/>
  <c r="B37" i="55"/>
  <c r="B94" i="55"/>
  <c r="C51" i="53"/>
  <c r="C104" i="53"/>
  <c r="D172" i="53"/>
  <c r="C23" i="53"/>
  <c r="C76" i="53"/>
  <c r="D135" i="53"/>
  <c r="D202" i="53"/>
  <c r="B36" i="55"/>
  <c r="B93" i="55"/>
  <c r="J38" i="61"/>
  <c r="G10" i="21"/>
  <c r="I34" i="42"/>
  <c r="C52" i="53"/>
  <c r="C105" i="53"/>
  <c r="D173" i="53"/>
  <c r="E25" i="21"/>
  <c r="H48" i="61"/>
  <c r="H57" i="48"/>
  <c r="H59" i="48"/>
  <c r="I48" i="61"/>
  <c r="F25" i="21"/>
  <c r="I57" i="48"/>
  <c r="J39" i="48"/>
  <c r="D241" i="53"/>
  <c r="D177" i="53"/>
  <c r="D226" i="53"/>
  <c r="D159" i="53"/>
  <c r="C49" i="53"/>
  <c r="C102" i="53"/>
  <c r="D265" i="55"/>
  <c r="B152" i="55"/>
  <c r="D211" i="55"/>
  <c r="D158" i="53"/>
  <c r="D225" i="53"/>
  <c r="D10" i="53"/>
  <c r="D63" i="53"/>
  <c r="C35" i="55"/>
  <c r="J273" i="53"/>
  <c r="H36" i="21"/>
  <c r="B11" i="55"/>
  <c r="D35" i="29"/>
  <c r="K56" i="22"/>
  <c r="L53" i="22"/>
  <c r="D16" i="53"/>
  <c r="D69" i="53"/>
  <c r="E221" i="53"/>
  <c r="E154" i="53"/>
  <c r="C20" i="53"/>
  <c r="C73" i="53"/>
  <c r="D157" i="53"/>
  <c r="D224" i="53"/>
  <c r="D136" i="53"/>
  <c r="D203" i="53"/>
  <c r="C35" i="29"/>
  <c r="H43" i="22"/>
  <c r="B14" i="55"/>
  <c r="B71" i="55"/>
  <c r="C47" i="53"/>
  <c r="C100" i="53"/>
  <c r="C24" i="53"/>
  <c r="C77" i="53"/>
  <c r="C48" i="53"/>
  <c r="C101" i="53"/>
  <c r="E40" i="53"/>
  <c r="E93" i="53"/>
  <c r="J29" i="42"/>
  <c r="J27" i="42"/>
  <c r="J28" i="42"/>
  <c r="J34" i="42"/>
  <c r="J37" i="42"/>
  <c r="J43" i="42"/>
  <c r="H34" i="21"/>
  <c r="J21" i="42"/>
  <c r="J23" i="42"/>
  <c r="C41" i="55"/>
  <c r="C98" i="55"/>
  <c r="C18" i="53"/>
  <c r="C71" i="53"/>
  <c r="B12" i="55"/>
  <c r="B69" i="55"/>
  <c r="G48" i="61"/>
  <c r="D25" i="21"/>
  <c r="G57" i="48"/>
  <c r="G59" i="48"/>
  <c r="F24" i="21"/>
  <c r="I51" i="61"/>
  <c r="H45" i="42"/>
  <c r="H47" i="42"/>
  <c r="D31" i="22"/>
  <c r="E31" i="22"/>
  <c r="F31" i="22"/>
  <c r="G31" i="22"/>
  <c r="H31" i="22"/>
  <c r="I31" i="22"/>
  <c r="C19" i="53"/>
  <c r="C72" i="53"/>
  <c r="D131" i="53"/>
  <c r="D198" i="53"/>
  <c r="B92" i="55"/>
  <c r="B17" i="55"/>
  <c r="B74" i="55"/>
  <c r="B56" i="55"/>
  <c r="B113" i="55"/>
  <c r="B58" i="55"/>
  <c r="B115" i="55"/>
  <c r="D137" i="53"/>
  <c r="D204" i="53"/>
  <c r="B40" i="55"/>
  <c r="B97" i="55"/>
  <c r="C42" i="53"/>
  <c r="C95" i="53"/>
  <c r="C50" i="53"/>
  <c r="C103" i="53"/>
  <c r="E33" i="53"/>
  <c r="E86" i="53"/>
  <c r="B39" i="55"/>
  <c r="B96" i="55"/>
  <c r="D9" i="53"/>
  <c r="D62" i="53"/>
  <c r="B19" i="55"/>
  <c r="B76" i="55"/>
  <c r="D57" i="53"/>
  <c r="D110" i="53"/>
  <c r="B38" i="55"/>
  <c r="B95" i="55"/>
  <c r="D11" i="53"/>
  <c r="D64" i="53"/>
  <c r="D12" i="53"/>
  <c r="D65" i="53"/>
  <c r="B150" i="55"/>
  <c r="D209" i="55"/>
  <c r="D263" i="55"/>
  <c r="C42" i="55"/>
  <c r="C99" i="55"/>
  <c r="D55" i="53"/>
  <c r="D108" i="53"/>
  <c r="C25" i="21"/>
  <c r="F48" i="61"/>
  <c r="F57" i="48"/>
  <c r="F59" i="48"/>
  <c r="E48" i="61"/>
  <c r="B25" i="21"/>
  <c r="E57" i="48"/>
  <c r="E59" i="48"/>
  <c r="K33" i="48"/>
  <c r="K37" i="48"/>
  <c r="K34" i="48"/>
  <c r="K38" i="48"/>
  <c r="K31" i="48"/>
  <c r="K35" i="48"/>
  <c r="K28" i="48"/>
  <c r="K32" i="48"/>
  <c r="K36" i="48"/>
  <c r="K52" i="48"/>
  <c r="K56" i="48"/>
  <c r="H35" i="21"/>
  <c r="K29" i="48"/>
  <c r="K44" i="48"/>
  <c r="K49" i="48"/>
  <c r="K30" i="48"/>
  <c r="D54" i="53"/>
  <c r="D107" i="53"/>
  <c r="E229" i="53"/>
  <c r="E162" i="53"/>
  <c r="B15" i="55"/>
  <c r="B72" i="55"/>
  <c r="C29" i="53"/>
  <c r="C82" i="53"/>
  <c r="C45" i="53"/>
  <c r="C98" i="53"/>
  <c r="C53" i="53"/>
  <c r="C106" i="53"/>
  <c r="D174" i="53"/>
  <c r="K30" i="22"/>
  <c r="K31" i="22"/>
  <c r="D13" i="53"/>
  <c r="D66" i="53"/>
  <c r="E227" i="53"/>
  <c r="E160" i="53"/>
  <c r="F41" i="22"/>
  <c r="C22" i="53"/>
  <c r="C75" i="53"/>
  <c r="B16" i="55"/>
  <c r="B73" i="55"/>
  <c r="D130" i="53"/>
  <c r="D197" i="53"/>
  <c r="B13" i="55"/>
  <c r="B70" i="55"/>
  <c r="D34" i="53"/>
  <c r="D87" i="53"/>
  <c r="C27" i="53"/>
  <c r="C80" i="53"/>
  <c r="D178" i="53"/>
  <c r="D242" i="53"/>
  <c r="C43" i="53"/>
  <c r="C96" i="53"/>
  <c r="F35" i="29"/>
  <c r="D14" i="53"/>
  <c r="D67" i="53"/>
  <c r="I35" i="61"/>
  <c r="F11" i="21"/>
  <c r="I59" i="48"/>
  <c r="E35" i="29"/>
  <c r="D132" i="53"/>
  <c r="D199" i="53"/>
  <c r="D133" i="53"/>
  <c r="D200" i="53"/>
  <c r="B59" i="55"/>
  <c r="B116" i="55"/>
  <c r="C44" i="53"/>
  <c r="C97" i="53"/>
  <c r="B151" i="55"/>
  <c r="D210" i="55"/>
  <c r="D264" i="55"/>
  <c r="C21" i="53"/>
  <c r="C74" i="53"/>
  <c r="D176" i="53"/>
  <c r="D240" i="53"/>
  <c r="G25" i="21"/>
  <c r="J48" i="61"/>
  <c r="J57" i="48"/>
  <c r="D175" i="53"/>
  <c r="D239" i="53"/>
  <c r="E41" i="53"/>
  <c r="E94" i="53"/>
  <c r="D56" i="53"/>
  <c r="D109" i="53"/>
  <c r="B18" i="55"/>
  <c r="B75" i="55"/>
  <c r="D38" i="53"/>
  <c r="D91" i="53"/>
  <c r="C43" i="55"/>
  <c r="C100" i="55"/>
  <c r="D37" i="53"/>
  <c r="D90" i="53"/>
  <c r="C25" i="53"/>
  <c r="C78" i="53"/>
  <c r="B57" i="55"/>
  <c r="B114" i="55"/>
  <c r="D134" i="53"/>
  <c r="D201" i="53"/>
  <c r="B30" i="55"/>
  <c r="B87" i="55"/>
  <c r="C46" i="53"/>
  <c r="C99" i="53"/>
  <c r="E39" i="53"/>
  <c r="E92" i="53"/>
  <c r="D36" i="53"/>
  <c r="D89" i="53"/>
  <c r="D15" i="53"/>
  <c r="D68" i="53"/>
  <c r="D155" i="53"/>
  <c r="D222" i="53"/>
  <c r="C28" i="53"/>
  <c r="C81" i="53"/>
  <c r="F57" i="23"/>
  <c r="F41" i="23"/>
  <c r="F25" i="23"/>
  <c r="F51" i="23"/>
  <c r="F35" i="23"/>
  <c r="F19" i="23"/>
  <c r="F42" i="23"/>
  <c r="F26" i="23"/>
  <c r="F52" i="23"/>
  <c r="F36" i="23"/>
  <c r="F20" i="23"/>
  <c r="F48" i="23"/>
  <c r="F32" i="23"/>
  <c r="F45" i="23"/>
  <c r="F55" i="23"/>
  <c r="F23" i="23"/>
  <c r="F56" i="23"/>
  <c r="F24" i="23"/>
  <c r="F53" i="23"/>
  <c r="F37" i="23"/>
  <c r="F21" i="23"/>
  <c r="F47" i="23"/>
  <c r="F31" i="23"/>
  <c r="F54" i="23"/>
  <c r="F38" i="23"/>
  <c r="F22" i="23"/>
  <c r="F16" i="23"/>
  <c r="F46" i="23"/>
  <c r="F40" i="23"/>
  <c r="F49" i="23"/>
  <c r="F33" i="23"/>
  <c r="F17" i="23"/>
  <c r="F43" i="23"/>
  <c r="F27" i="23"/>
  <c r="F50" i="23"/>
  <c r="F34" i="23"/>
  <c r="F18" i="23"/>
  <c r="F44" i="23"/>
  <c r="F28" i="23"/>
  <c r="F29" i="23"/>
  <c r="F39" i="23"/>
  <c r="F30" i="23"/>
  <c r="C35" i="69"/>
  <c r="D35" i="69"/>
  <c r="E35" i="69"/>
  <c r="F35" i="69"/>
  <c r="G35" i="69"/>
  <c r="H35" i="69"/>
  <c r="K35" i="69"/>
  <c r="C10" i="23"/>
  <c r="H124" i="29"/>
  <c r="H139" i="29"/>
  <c r="H154" i="29"/>
  <c r="H169" i="29"/>
  <c r="G125" i="29"/>
  <c r="G140" i="29"/>
  <c r="G155" i="29"/>
  <c r="G170" i="29"/>
  <c r="C10" i="68"/>
  <c r="C161" i="29"/>
  <c r="C176" i="29"/>
  <c r="C146" i="29"/>
  <c r="C25" i="68"/>
  <c r="D176" i="29"/>
  <c r="D146" i="29"/>
  <c r="D161" i="29"/>
  <c r="D25" i="68"/>
  <c r="H47" i="21"/>
  <c r="I79" i="22"/>
  <c r="G47" i="21"/>
  <c r="H79" i="22"/>
  <c r="E161" i="29"/>
  <c r="E146" i="29"/>
  <c r="E131" i="29"/>
  <c r="E176" i="29"/>
  <c r="I36" i="22"/>
  <c r="I58" i="22"/>
  <c r="H46" i="21"/>
  <c r="I57" i="29"/>
  <c r="H118" i="84"/>
  <c r="F37" i="21"/>
  <c r="F40" i="21"/>
  <c r="J76" i="84"/>
  <c r="I114" i="84"/>
  <c r="I115" i="84"/>
  <c r="I116" i="84"/>
  <c r="I117" i="84"/>
  <c r="K35" i="22"/>
  <c r="K36" i="22"/>
  <c r="K38" i="22"/>
  <c r="L35" i="22"/>
  <c r="L36" i="22"/>
  <c r="C57" i="22"/>
  <c r="B14" i="69"/>
  <c r="K14" i="69"/>
  <c r="L43" i="22"/>
  <c r="H36" i="22"/>
  <c r="H58" i="22"/>
  <c r="G15" i="69"/>
  <c r="C9" i="68"/>
  <c r="C36" i="22"/>
  <c r="C58" i="22"/>
  <c r="B46" i="21"/>
  <c r="B88" i="22"/>
  <c r="D36" i="22"/>
  <c r="D58" i="22"/>
  <c r="C46" i="21"/>
  <c r="E93" i="29"/>
  <c r="F36" i="22"/>
  <c r="F58" i="22"/>
  <c r="E15" i="69"/>
  <c r="G36" i="22"/>
  <c r="G58" i="22"/>
  <c r="F46" i="21"/>
  <c r="G57" i="29"/>
  <c r="B47" i="21"/>
  <c r="C79" i="22"/>
  <c r="E47" i="21"/>
  <c r="F79" i="22"/>
  <c r="F47" i="21"/>
  <c r="G79" i="22"/>
  <c r="C47" i="21"/>
  <c r="D79" i="22"/>
  <c r="D47" i="21"/>
  <c r="E79" i="22"/>
  <c r="D15" i="69"/>
  <c r="K50" i="22"/>
  <c r="L47" i="22"/>
  <c r="L48" i="22"/>
  <c r="L50" i="22"/>
  <c r="M47" i="22"/>
  <c r="M48" i="22"/>
  <c r="M50" i="22"/>
  <c r="N47" i="22"/>
  <c r="N48" i="22"/>
  <c r="E25" i="68"/>
  <c r="I81" i="84"/>
  <c r="G14" i="21"/>
  <c r="E37" i="21"/>
  <c r="E40" i="21"/>
  <c r="E228" i="53"/>
  <c r="C118" i="53"/>
  <c r="D187" i="53"/>
  <c r="E35" i="53"/>
  <c r="E88" i="53"/>
  <c r="C37" i="55"/>
  <c r="C94" i="55"/>
  <c r="E223" i="53"/>
  <c r="E156" i="53"/>
  <c r="B146" i="55"/>
  <c r="D205" i="55"/>
  <c r="D259" i="55"/>
  <c r="K48" i="61"/>
  <c r="H25" i="21"/>
  <c r="K57" i="48"/>
  <c r="B49" i="55"/>
  <c r="B106" i="55"/>
  <c r="E15" i="53"/>
  <c r="E68" i="53"/>
  <c r="B22" i="55"/>
  <c r="B79" i="55"/>
  <c r="D167" i="53"/>
  <c r="D234" i="53"/>
  <c r="D146" i="53"/>
  <c r="D213" i="53"/>
  <c r="D43" i="55"/>
  <c r="D100" i="55"/>
  <c r="E38" i="53"/>
  <c r="E91" i="53"/>
  <c r="E56" i="53"/>
  <c r="E109" i="53"/>
  <c r="C59" i="55"/>
  <c r="C116" i="55"/>
  <c r="G35" i="29"/>
  <c r="D164" i="53"/>
  <c r="D231" i="53"/>
  <c r="D148" i="53"/>
  <c r="D215" i="53"/>
  <c r="B122" i="55"/>
  <c r="D180" i="55"/>
  <c r="D235" i="55"/>
  <c r="C114" i="53"/>
  <c r="C16" i="55"/>
  <c r="C73" i="55"/>
  <c r="E134" i="53"/>
  <c r="E201" i="53"/>
  <c r="D150" i="53"/>
  <c r="D217" i="53"/>
  <c r="E200" i="53"/>
  <c r="E133" i="53"/>
  <c r="B147" i="55"/>
  <c r="D206" i="55"/>
  <c r="D260" i="55"/>
  <c r="B45" i="55"/>
  <c r="B102" i="55"/>
  <c r="E9" i="53"/>
  <c r="E62" i="53"/>
  <c r="B24" i="55"/>
  <c r="B81" i="55"/>
  <c r="F33" i="53"/>
  <c r="F86" i="53"/>
  <c r="D171" i="53"/>
  <c r="D238" i="53"/>
  <c r="D262" i="55"/>
  <c r="B149" i="55"/>
  <c r="D208" i="55"/>
  <c r="B167" i="55"/>
  <c r="D226" i="55"/>
  <c r="D277" i="55"/>
  <c r="B126" i="55"/>
  <c r="D184" i="55"/>
  <c r="D239" i="55"/>
  <c r="D140" i="53"/>
  <c r="D207" i="53"/>
  <c r="B47" i="55"/>
  <c r="B104" i="55"/>
  <c r="B121" i="55"/>
  <c r="D179" i="55"/>
  <c r="D234" i="55"/>
  <c r="E263" i="55"/>
  <c r="C150" i="55"/>
  <c r="E209" i="55"/>
  <c r="F161" i="53"/>
  <c r="F228" i="53"/>
  <c r="B29" i="55"/>
  <c r="B86" i="55"/>
  <c r="D20" i="53"/>
  <c r="D73" i="53"/>
  <c r="E204" i="53"/>
  <c r="E137" i="53"/>
  <c r="B68" i="55"/>
  <c r="E198" i="53"/>
  <c r="E131" i="53"/>
  <c r="G11" i="21"/>
  <c r="J35" i="61"/>
  <c r="J59" i="48"/>
  <c r="D10" i="23"/>
  <c r="F10" i="23"/>
  <c r="B145" i="55"/>
  <c r="D204" i="55"/>
  <c r="D258" i="55"/>
  <c r="D28" i="53"/>
  <c r="D81" i="53"/>
  <c r="E157" i="53"/>
  <c r="E224" i="53"/>
  <c r="C30" i="55"/>
  <c r="C87" i="55"/>
  <c r="B166" i="55"/>
  <c r="D225" i="55"/>
  <c r="D276" i="55"/>
  <c r="F229" i="53"/>
  <c r="F162" i="53"/>
  <c r="B25" i="55"/>
  <c r="B82" i="55"/>
  <c r="E155" i="53"/>
  <c r="E222" i="53"/>
  <c r="B125" i="55"/>
  <c r="D183" i="55"/>
  <c r="D238" i="55"/>
  <c r="F44" i="22"/>
  <c r="E13" i="53"/>
  <c r="E66" i="53"/>
  <c r="D53" i="53"/>
  <c r="D106" i="53"/>
  <c r="E174" i="53"/>
  <c r="D45" i="53"/>
  <c r="D98" i="53"/>
  <c r="C15" i="55"/>
  <c r="C72" i="55"/>
  <c r="E239" i="53"/>
  <c r="E175" i="53"/>
  <c r="K39" i="48"/>
  <c r="B23" i="55"/>
  <c r="B80" i="55"/>
  <c r="M42" i="22"/>
  <c r="M43" i="22"/>
  <c r="B46" i="55"/>
  <c r="B103" i="55"/>
  <c r="E12" i="53"/>
  <c r="E65" i="53"/>
  <c r="C38" i="55"/>
  <c r="C95" i="55"/>
  <c r="E242" i="53"/>
  <c r="E178" i="53"/>
  <c r="C19" i="55"/>
  <c r="C76" i="55"/>
  <c r="C39" i="55"/>
  <c r="C96" i="55"/>
  <c r="D42" i="53"/>
  <c r="D95" i="53"/>
  <c r="C56" i="55"/>
  <c r="C113" i="55"/>
  <c r="D18" i="53"/>
  <c r="D71" i="53"/>
  <c r="D41" i="55"/>
  <c r="D98" i="55"/>
  <c r="H24" i="21"/>
  <c r="K51" i="61"/>
  <c r="J45" i="42"/>
  <c r="F40" i="53"/>
  <c r="F93" i="53"/>
  <c r="B28" i="55"/>
  <c r="B85" i="55"/>
  <c r="D47" i="53"/>
  <c r="D100" i="53"/>
  <c r="C14" i="55"/>
  <c r="C71" i="55"/>
  <c r="D141" i="53"/>
  <c r="D208" i="53"/>
  <c r="B44" i="55"/>
  <c r="B101" i="55"/>
  <c r="E16" i="53"/>
  <c r="E69" i="53"/>
  <c r="L54" i="22"/>
  <c r="L55" i="22"/>
  <c r="E10" i="53"/>
  <c r="E63" i="53"/>
  <c r="D52" i="53"/>
  <c r="D105" i="53"/>
  <c r="E173" i="53"/>
  <c r="H34" i="29"/>
  <c r="D23" i="53"/>
  <c r="D76" i="53"/>
  <c r="F227" i="53"/>
  <c r="F160" i="53"/>
  <c r="E225" i="53"/>
  <c r="E158" i="53"/>
  <c r="C18" i="55"/>
  <c r="C75" i="55"/>
  <c r="D278" i="55"/>
  <c r="B168" i="55"/>
  <c r="D227" i="55"/>
  <c r="D149" i="53"/>
  <c r="D216" i="53"/>
  <c r="E36" i="53"/>
  <c r="E89" i="53"/>
  <c r="F39" i="53"/>
  <c r="F92" i="53"/>
  <c r="B139" i="55"/>
  <c r="D197" i="55"/>
  <c r="D252" i="55"/>
  <c r="C57" i="55"/>
  <c r="C114" i="55"/>
  <c r="E37" i="53"/>
  <c r="E90" i="53"/>
  <c r="B51" i="55"/>
  <c r="B108" i="55"/>
  <c r="B127" i="55"/>
  <c r="D185" i="55"/>
  <c r="D240" i="55"/>
  <c r="F41" i="53"/>
  <c r="F94" i="53"/>
  <c r="D21" i="53"/>
  <c r="D74" i="53"/>
  <c r="D44" i="53"/>
  <c r="D97" i="53"/>
  <c r="E202" i="53"/>
  <c r="E135" i="53"/>
  <c r="E34" i="53"/>
  <c r="E87" i="53"/>
  <c r="C119" i="53"/>
  <c r="D22" i="53"/>
  <c r="D75" i="53"/>
  <c r="B27" i="55"/>
  <c r="B84" i="55"/>
  <c r="K32" i="22"/>
  <c r="D166" i="53"/>
  <c r="D233" i="53"/>
  <c r="B124" i="55"/>
  <c r="D182" i="55"/>
  <c r="D237" i="55"/>
  <c r="E54" i="53"/>
  <c r="E107" i="53"/>
  <c r="E176" i="53"/>
  <c r="E240" i="53"/>
  <c r="E264" i="55"/>
  <c r="C151" i="55"/>
  <c r="E210" i="55"/>
  <c r="E132" i="53"/>
  <c r="E199" i="53"/>
  <c r="E57" i="53"/>
  <c r="E110" i="53"/>
  <c r="B128" i="55"/>
  <c r="D186" i="55"/>
  <c r="D241" i="55"/>
  <c r="B148" i="55"/>
  <c r="D207" i="55"/>
  <c r="D261" i="55"/>
  <c r="D163" i="53"/>
  <c r="D230" i="53"/>
  <c r="B165" i="55"/>
  <c r="D224" i="55"/>
  <c r="D275" i="55"/>
  <c r="D257" i="55"/>
  <c r="B144" i="55"/>
  <c r="D203" i="55"/>
  <c r="B31" i="55"/>
  <c r="B88" i="55"/>
  <c r="D139" i="53"/>
  <c r="D206" i="53"/>
  <c r="H10" i="21"/>
  <c r="K38" i="61"/>
  <c r="J47" i="42"/>
  <c r="D48" i="53"/>
  <c r="D101" i="53"/>
  <c r="D24" i="53"/>
  <c r="D77" i="53"/>
  <c r="D168" i="53"/>
  <c r="D235" i="53"/>
  <c r="B123" i="55"/>
  <c r="D181" i="55"/>
  <c r="D236" i="55"/>
  <c r="I43" i="22"/>
  <c r="C92" i="55"/>
  <c r="D49" i="53"/>
  <c r="D102" i="53"/>
  <c r="B20" i="55"/>
  <c r="B77" i="55"/>
  <c r="B50" i="55"/>
  <c r="B107" i="55"/>
  <c r="D144" i="53"/>
  <c r="D211" i="53"/>
  <c r="E136" i="53"/>
  <c r="E203" i="53"/>
  <c r="D46" i="53"/>
  <c r="D99" i="53"/>
  <c r="D25" i="53"/>
  <c r="D78" i="53"/>
  <c r="E265" i="55"/>
  <c r="C152" i="55"/>
  <c r="E211" i="55"/>
  <c r="E159" i="53"/>
  <c r="E226" i="53"/>
  <c r="E241" i="53"/>
  <c r="E177" i="53"/>
  <c r="D142" i="53"/>
  <c r="D209" i="53"/>
  <c r="E107" i="29"/>
  <c r="D88" i="22"/>
  <c r="F93" i="29"/>
  <c r="E57" i="29"/>
  <c r="F11" i="29"/>
  <c r="D165" i="53"/>
  <c r="D232" i="53"/>
  <c r="E14" i="53"/>
  <c r="E67" i="53"/>
  <c r="D43" i="53"/>
  <c r="D96" i="53"/>
  <c r="D27" i="53"/>
  <c r="D80" i="53"/>
  <c r="C13" i="55"/>
  <c r="C70" i="55"/>
  <c r="C116" i="53"/>
  <c r="C115" i="53"/>
  <c r="D143" i="53"/>
  <c r="D210" i="53"/>
  <c r="B48" i="55"/>
  <c r="B105" i="55"/>
  <c r="D29" i="53"/>
  <c r="D82" i="53"/>
  <c r="E55" i="53"/>
  <c r="E108" i="53"/>
  <c r="D42" i="55"/>
  <c r="D99" i="55"/>
  <c r="E11" i="53"/>
  <c r="E64" i="53"/>
  <c r="B26" i="55"/>
  <c r="B83" i="55"/>
  <c r="E130" i="53"/>
  <c r="E197" i="53"/>
  <c r="F221" i="53"/>
  <c r="F154" i="53"/>
  <c r="D50" i="53"/>
  <c r="D103" i="53"/>
  <c r="C40" i="55"/>
  <c r="C97" i="55"/>
  <c r="C58" i="55"/>
  <c r="C115" i="55"/>
  <c r="C17" i="55"/>
  <c r="C74" i="55"/>
  <c r="D19" i="53"/>
  <c r="D72" i="53"/>
  <c r="C12" i="55"/>
  <c r="C69" i="55"/>
  <c r="D169" i="53"/>
  <c r="D236" i="53"/>
  <c r="D145" i="53"/>
  <c r="D212" i="53"/>
  <c r="B52" i="55"/>
  <c r="B109" i="55"/>
  <c r="C11" i="55"/>
  <c r="D35" i="55"/>
  <c r="B21" i="55"/>
  <c r="B78" i="55"/>
  <c r="D170" i="53"/>
  <c r="D237" i="53"/>
  <c r="G24" i="21"/>
  <c r="J51" i="61"/>
  <c r="I45" i="42"/>
  <c r="I47" i="42"/>
  <c r="C36" i="55"/>
  <c r="C93" i="55"/>
  <c r="D51" i="53"/>
  <c r="D104" i="53"/>
  <c r="E172" i="53"/>
  <c r="I169" i="29"/>
  <c r="I124" i="29"/>
  <c r="I139" i="29"/>
  <c r="I154" i="29"/>
  <c r="H140" i="29"/>
  <c r="H155" i="29"/>
  <c r="H170" i="29"/>
  <c r="H125" i="29"/>
  <c r="D107" i="29"/>
  <c r="K58" i="22"/>
  <c r="B89" i="22"/>
  <c r="E11" i="29"/>
  <c r="C88" i="22"/>
  <c r="H88" i="22"/>
  <c r="H15" i="69"/>
  <c r="D57" i="29"/>
  <c r="G46" i="21"/>
  <c r="H57" i="29"/>
  <c r="K37" i="22"/>
  <c r="K59" i="22"/>
  <c r="K57" i="22"/>
  <c r="H108" i="29"/>
  <c r="I94" i="29"/>
  <c r="I12" i="29"/>
  <c r="H58" i="29"/>
  <c r="I108" i="29"/>
  <c r="J94" i="29"/>
  <c r="J12" i="29"/>
  <c r="I58" i="29"/>
  <c r="F146" i="29"/>
  <c r="F161" i="29"/>
  <c r="F176" i="29"/>
  <c r="F131" i="29"/>
  <c r="G176" i="29"/>
  <c r="G161" i="29"/>
  <c r="G146" i="29"/>
  <c r="G131" i="29"/>
  <c r="J11" i="29"/>
  <c r="J93" i="29"/>
  <c r="I107" i="29"/>
  <c r="B15" i="69"/>
  <c r="D93" i="29"/>
  <c r="C37" i="22"/>
  <c r="D37" i="22"/>
  <c r="C38" i="22"/>
  <c r="C60" i="22"/>
  <c r="E46" i="21"/>
  <c r="G93" i="29"/>
  <c r="C107" i="29"/>
  <c r="D11" i="29"/>
  <c r="C57" i="29"/>
  <c r="B19" i="69"/>
  <c r="I118" i="84"/>
  <c r="J114" i="84"/>
  <c r="J116" i="84"/>
  <c r="J115" i="84"/>
  <c r="J117" i="84"/>
  <c r="F15" i="69"/>
  <c r="C15" i="69"/>
  <c r="D108" i="29"/>
  <c r="D58" i="29"/>
  <c r="E12" i="29"/>
  <c r="E94" i="29"/>
  <c r="F108" i="29"/>
  <c r="F58" i="29"/>
  <c r="G94" i="29"/>
  <c r="G12" i="29"/>
  <c r="E58" i="29"/>
  <c r="F94" i="29"/>
  <c r="E108" i="29"/>
  <c r="F12" i="29"/>
  <c r="H12" i="29"/>
  <c r="G58" i="29"/>
  <c r="H94" i="29"/>
  <c r="G108" i="29"/>
  <c r="C58" i="29"/>
  <c r="C108" i="29"/>
  <c r="D94" i="29"/>
  <c r="D12" i="29"/>
  <c r="L49" i="22"/>
  <c r="M49" i="22"/>
  <c r="N49" i="22"/>
  <c r="H93" i="29"/>
  <c r="F88" i="22"/>
  <c r="G107" i="29"/>
  <c r="H11" i="29"/>
  <c r="N50" i="22"/>
  <c r="O47" i="22"/>
  <c r="O48" i="22"/>
  <c r="L38" i="22"/>
  <c r="M35" i="22"/>
  <c r="G25" i="68"/>
  <c r="F25" i="68"/>
  <c r="J81" i="84"/>
  <c r="H14" i="21"/>
  <c r="D250" i="53"/>
  <c r="D37" i="55"/>
  <c r="D94" i="55"/>
  <c r="C146" i="55"/>
  <c r="E205" i="55"/>
  <c r="E259" i="55"/>
  <c r="F35" i="53"/>
  <c r="F88" i="53"/>
  <c r="D116" i="53"/>
  <c r="E184" i="53"/>
  <c r="D254" i="53"/>
  <c r="F223" i="53"/>
  <c r="F156" i="53"/>
  <c r="E247" i="53"/>
  <c r="E35" i="55"/>
  <c r="B161" i="55"/>
  <c r="D220" i="55"/>
  <c r="D274" i="55"/>
  <c r="E234" i="55"/>
  <c r="C121" i="55"/>
  <c r="E179" i="55"/>
  <c r="C126" i="55"/>
  <c r="E184" i="55"/>
  <c r="E239" i="55"/>
  <c r="E262" i="55"/>
  <c r="C149" i="55"/>
  <c r="E208" i="55"/>
  <c r="D119" i="53"/>
  <c r="B135" i="55"/>
  <c r="D193" i="55"/>
  <c r="D248" i="55"/>
  <c r="E42" i="55"/>
  <c r="E99" i="55"/>
  <c r="E29" i="53"/>
  <c r="E82" i="53"/>
  <c r="D184" i="53"/>
  <c r="D247" i="53"/>
  <c r="E27" i="53"/>
  <c r="E80" i="53"/>
  <c r="F202" i="53"/>
  <c r="F135" i="53"/>
  <c r="B159" i="55"/>
  <c r="D218" i="55"/>
  <c r="D272" i="55"/>
  <c r="B129" i="55"/>
  <c r="D187" i="55"/>
  <c r="D242" i="55"/>
  <c r="E49" i="53"/>
  <c r="E102" i="53"/>
  <c r="E145" i="53"/>
  <c r="E212" i="53"/>
  <c r="E169" i="53"/>
  <c r="E236" i="53"/>
  <c r="I34" i="29"/>
  <c r="L29" i="22"/>
  <c r="K60" i="22"/>
  <c r="D188" i="53"/>
  <c r="D251" i="53"/>
  <c r="G41" i="53"/>
  <c r="G94" i="53"/>
  <c r="B160" i="55"/>
  <c r="D219" i="55"/>
  <c r="D273" i="55"/>
  <c r="D57" i="55"/>
  <c r="D114" i="55"/>
  <c r="G39" i="53"/>
  <c r="G92" i="53"/>
  <c r="D18" i="55"/>
  <c r="D75" i="55"/>
  <c r="E23" i="53"/>
  <c r="E76" i="53"/>
  <c r="F10" i="53"/>
  <c r="F63" i="53"/>
  <c r="F16" i="53"/>
  <c r="F69" i="53"/>
  <c r="E47" i="53"/>
  <c r="E100" i="53"/>
  <c r="G228" i="53"/>
  <c r="G161" i="53"/>
  <c r="E18" i="53"/>
  <c r="E71" i="53"/>
  <c r="B61" i="55"/>
  <c r="E42" i="53"/>
  <c r="E95" i="53"/>
  <c r="D38" i="55"/>
  <c r="D95" i="55"/>
  <c r="B155" i="55"/>
  <c r="D214" i="55"/>
  <c r="D268" i="55"/>
  <c r="C23" i="55"/>
  <c r="C80" i="55"/>
  <c r="E45" i="53"/>
  <c r="E98" i="53"/>
  <c r="F134" i="53"/>
  <c r="F201" i="53"/>
  <c r="C25" i="55"/>
  <c r="C82" i="55"/>
  <c r="B120" i="55"/>
  <c r="D233" i="55"/>
  <c r="C29" i="55"/>
  <c r="C86" i="55"/>
  <c r="C47" i="55"/>
  <c r="C104" i="55"/>
  <c r="G33" i="53"/>
  <c r="G86" i="53"/>
  <c r="F9" i="53"/>
  <c r="F62" i="53"/>
  <c r="C45" i="55"/>
  <c r="C102" i="55"/>
  <c r="F56" i="53"/>
  <c r="F109" i="53"/>
  <c r="E43" i="55"/>
  <c r="E100" i="55"/>
  <c r="B131" i="55"/>
  <c r="D189" i="55"/>
  <c r="D244" i="55"/>
  <c r="B158" i="55"/>
  <c r="D217" i="55"/>
  <c r="D271" i="55"/>
  <c r="D36" i="55"/>
  <c r="D93" i="55"/>
  <c r="C21" i="55"/>
  <c r="C78" i="55"/>
  <c r="C68" i="55"/>
  <c r="D12" i="55"/>
  <c r="D69" i="55"/>
  <c r="D17" i="55"/>
  <c r="D74" i="55"/>
  <c r="D40" i="55"/>
  <c r="D97" i="55"/>
  <c r="F199" i="53"/>
  <c r="F132" i="53"/>
  <c r="F240" i="53"/>
  <c r="F176" i="53"/>
  <c r="C48" i="55"/>
  <c r="C105" i="55"/>
  <c r="C122" i="55"/>
  <c r="E180" i="55"/>
  <c r="E235" i="55"/>
  <c r="E231" i="53"/>
  <c r="E164" i="53"/>
  <c r="F14" i="53"/>
  <c r="F67" i="53"/>
  <c r="E257" i="55"/>
  <c r="C144" i="55"/>
  <c r="E203" i="55"/>
  <c r="E24" i="53"/>
  <c r="E77" i="53"/>
  <c r="E48" i="53"/>
  <c r="E101" i="53"/>
  <c r="C31" i="55"/>
  <c r="C88" i="55"/>
  <c r="C27" i="55"/>
  <c r="C84" i="55"/>
  <c r="F222" i="53"/>
  <c r="F155" i="53"/>
  <c r="E165" i="53"/>
  <c r="E232" i="53"/>
  <c r="E209" i="53"/>
  <c r="E142" i="53"/>
  <c r="F225" i="53"/>
  <c r="F158" i="53"/>
  <c r="F157" i="53"/>
  <c r="F224" i="53"/>
  <c r="E52" i="53"/>
  <c r="E105" i="53"/>
  <c r="F173" i="53"/>
  <c r="L56" i="22"/>
  <c r="M53" i="22"/>
  <c r="C44" i="55"/>
  <c r="C101" i="55"/>
  <c r="C123" i="55"/>
  <c r="E181" i="55"/>
  <c r="E236" i="55"/>
  <c r="G40" i="53"/>
  <c r="G93" i="53"/>
  <c r="F263" i="55"/>
  <c r="D150" i="55"/>
  <c r="F209" i="55"/>
  <c r="E275" i="55"/>
  <c r="C165" i="55"/>
  <c r="E224" i="55"/>
  <c r="E261" i="55"/>
  <c r="C148" i="55"/>
  <c r="E207" i="55"/>
  <c r="E241" i="55"/>
  <c r="C128" i="55"/>
  <c r="E186" i="55"/>
  <c r="F200" i="53"/>
  <c r="F133" i="53"/>
  <c r="B132" i="55"/>
  <c r="D190" i="55"/>
  <c r="D245" i="55"/>
  <c r="E237" i="55"/>
  <c r="C124" i="55"/>
  <c r="E182" i="55"/>
  <c r="F13" i="53"/>
  <c r="F66" i="53"/>
  <c r="B134" i="55"/>
  <c r="D192" i="55"/>
  <c r="D247" i="55"/>
  <c r="B33" i="55"/>
  <c r="B138" i="55"/>
  <c r="D196" i="55"/>
  <c r="D251" i="55"/>
  <c r="B156" i="55"/>
  <c r="D215" i="55"/>
  <c r="D269" i="55"/>
  <c r="C24" i="55"/>
  <c r="C81" i="55"/>
  <c r="B154" i="55"/>
  <c r="D213" i="55"/>
  <c r="D267" i="55"/>
  <c r="E238" i="55"/>
  <c r="C125" i="55"/>
  <c r="E183" i="55"/>
  <c r="E278" i="55"/>
  <c r="C168" i="55"/>
  <c r="E227" i="55"/>
  <c r="F226" i="53"/>
  <c r="F159" i="53"/>
  <c r="F203" i="53"/>
  <c r="F136" i="53"/>
  <c r="B130" i="55"/>
  <c r="D188" i="55"/>
  <c r="D243" i="55"/>
  <c r="D11" i="55"/>
  <c r="E207" i="53"/>
  <c r="E140" i="53"/>
  <c r="D58" i="55"/>
  <c r="D115" i="55"/>
  <c r="E171" i="53"/>
  <c r="E238" i="53"/>
  <c r="D118" i="53"/>
  <c r="D114" i="53"/>
  <c r="E253" i="53"/>
  <c r="F11" i="53"/>
  <c r="F64" i="53"/>
  <c r="F55" i="53"/>
  <c r="F108" i="53"/>
  <c r="B157" i="55"/>
  <c r="D216" i="55"/>
  <c r="D270" i="55"/>
  <c r="D13" i="55"/>
  <c r="D70" i="55"/>
  <c r="E43" i="53"/>
  <c r="E96" i="53"/>
  <c r="E213" i="53"/>
  <c r="E146" i="53"/>
  <c r="E167" i="53"/>
  <c r="E234" i="53"/>
  <c r="B140" i="55"/>
  <c r="D198" i="55"/>
  <c r="D253" i="55"/>
  <c r="F242" i="53"/>
  <c r="F178" i="53"/>
  <c r="F175" i="53"/>
  <c r="F239" i="53"/>
  <c r="B136" i="55"/>
  <c r="D194" i="55"/>
  <c r="D249" i="55"/>
  <c r="E143" i="53"/>
  <c r="E210" i="53"/>
  <c r="F34" i="53"/>
  <c r="F87" i="53"/>
  <c r="E44" i="53"/>
  <c r="E97" i="53"/>
  <c r="E21" i="53"/>
  <c r="E74" i="53"/>
  <c r="F37" i="53"/>
  <c r="F90" i="53"/>
  <c r="F36" i="53"/>
  <c r="F89" i="53"/>
  <c r="B153" i="55"/>
  <c r="D212" i="55"/>
  <c r="D266" i="55"/>
  <c r="D14" i="55"/>
  <c r="D71" i="55"/>
  <c r="C28" i="55"/>
  <c r="C85" i="55"/>
  <c r="E41" i="55"/>
  <c r="E98" i="55"/>
  <c r="D56" i="55"/>
  <c r="D113" i="55"/>
  <c r="D39" i="55"/>
  <c r="D96" i="55"/>
  <c r="D19" i="55"/>
  <c r="D76" i="55"/>
  <c r="F12" i="53"/>
  <c r="F65" i="53"/>
  <c r="H11" i="21"/>
  <c r="K35" i="61"/>
  <c r="K59" i="48"/>
  <c r="D15" i="55"/>
  <c r="D72" i="55"/>
  <c r="E53" i="53"/>
  <c r="E106" i="53"/>
  <c r="F174" i="53"/>
  <c r="C139" i="55"/>
  <c r="E197" i="55"/>
  <c r="E252" i="55"/>
  <c r="E216" i="53"/>
  <c r="E149" i="53"/>
  <c r="H35" i="29"/>
  <c r="E141" i="53"/>
  <c r="E208" i="53"/>
  <c r="B133" i="55"/>
  <c r="D191" i="55"/>
  <c r="D246" i="55"/>
  <c r="D16" i="55"/>
  <c r="D73" i="55"/>
  <c r="D59" i="55"/>
  <c r="D116" i="55"/>
  <c r="F38" i="53"/>
  <c r="F91" i="53"/>
  <c r="F15" i="53"/>
  <c r="F68" i="53"/>
  <c r="E258" i="55"/>
  <c r="C145" i="55"/>
  <c r="E204" i="55"/>
  <c r="E51" i="53"/>
  <c r="E104" i="53"/>
  <c r="F172" i="53"/>
  <c r="D92" i="55"/>
  <c r="C52" i="55"/>
  <c r="C109" i="55"/>
  <c r="E19" i="53"/>
  <c r="E72" i="53"/>
  <c r="E277" i="55"/>
  <c r="C167" i="55"/>
  <c r="E226" i="55"/>
  <c r="E50" i="53"/>
  <c r="E103" i="53"/>
  <c r="D115" i="53"/>
  <c r="C26" i="55"/>
  <c r="C83" i="55"/>
  <c r="F264" i="55"/>
  <c r="D151" i="55"/>
  <c r="F210" i="55"/>
  <c r="E150" i="53"/>
  <c r="E217" i="53"/>
  <c r="D183" i="53"/>
  <c r="D246" i="53"/>
  <c r="E148" i="53"/>
  <c r="E215" i="53"/>
  <c r="E25" i="53"/>
  <c r="E78" i="53"/>
  <c r="E46" i="53"/>
  <c r="E99" i="53"/>
  <c r="C50" i="55"/>
  <c r="C107" i="55"/>
  <c r="C20" i="55"/>
  <c r="C77" i="55"/>
  <c r="E237" i="53"/>
  <c r="E170" i="53"/>
  <c r="F57" i="53"/>
  <c r="F110" i="53"/>
  <c r="F54" i="53"/>
  <c r="F107" i="53"/>
  <c r="E22" i="53"/>
  <c r="E75" i="53"/>
  <c r="G229" i="53"/>
  <c r="G162" i="53"/>
  <c r="C51" i="55"/>
  <c r="C108" i="55"/>
  <c r="E276" i="55"/>
  <c r="C166" i="55"/>
  <c r="E225" i="55"/>
  <c r="G160" i="53"/>
  <c r="G227" i="53"/>
  <c r="C127" i="55"/>
  <c r="E185" i="55"/>
  <c r="E240" i="55"/>
  <c r="E211" i="53"/>
  <c r="E144" i="53"/>
  <c r="F198" i="53"/>
  <c r="F131" i="53"/>
  <c r="F204" i="53"/>
  <c r="F137" i="53"/>
  <c r="E235" i="53"/>
  <c r="E168" i="53"/>
  <c r="B137" i="55"/>
  <c r="D195" i="55"/>
  <c r="D250" i="55"/>
  <c r="E139" i="53"/>
  <c r="E206" i="53"/>
  <c r="D253" i="53"/>
  <c r="E163" i="53"/>
  <c r="E230" i="53"/>
  <c r="E260" i="55"/>
  <c r="C147" i="55"/>
  <c r="E206" i="55"/>
  <c r="C46" i="55"/>
  <c r="C103" i="55"/>
  <c r="M44" i="22"/>
  <c r="E233" i="53"/>
  <c r="E166" i="53"/>
  <c r="G41" i="22"/>
  <c r="D30" i="55"/>
  <c r="D87" i="55"/>
  <c r="E28" i="53"/>
  <c r="E81" i="53"/>
  <c r="E10" i="23"/>
  <c r="G10" i="23"/>
  <c r="E20" i="53"/>
  <c r="E73" i="53"/>
  <c r="G221" i="53"/>
  <c r="G154" i="53"/>
  <c r="F130" i="53"/>
  <c r="F197" i="53"/>
  <c r="D182" i="53"/>
  <c r="D245" i="53"/>
  <c r="F177" i="53"/>
  <c r="F241" i="53"/>
  <c r="F265" i="55"/>
  <c r="D152" i="55"/>
  <c r="F211" i="55"/>
  <c r="C22" i="55"/>
  <c r="C79" i="55"/>
  <c r="C49" i="55"/>
  <c r="C106" i="55"/>
  <c r="B16" i="69"/>
  <c r="K16" i="69"/>
  <c r="K15" i="69"/>
  <c r="I140" i="29"/>
  <c r="I155" i="29"/>
  <c r="I170" i="29"/>
  <c r="I125" i="29"/>
  <c r="C19" i="69"/>
  <c r="D19" i="69"/>
  <c r="E19" i="69"/>
  <c r="F19" i="69"/>
  <c r="G19" i="69"/>
  <c r="H19" i="69"/>
  <c r="K19" i="69"/>
  <c r="O49" i="22"/>
  <c r="D35" i="22"/>
  <c r="D57" i="22"/>
  <c r="C14" i="69"/>
  <c r="C16" i="69"/>
  <c r="G88" i="22"/>
  <c r="I11" i="29"/>
  <c r="I93" i="29"/>
  <c r="H107" i="29"/>
  <c r="C59" i="22"/>
  <c r="L37" i="22"/>
  <c r="F107" i="29"/>
  <c r="G11" i="29"/>
  <c r="F57" i="29"/>
  <c r="E88" i="22"/>
  <c r="J118" i="84"/>
  <c r="O50" i="22"/>
  <c r="P47" i="22"/>
  <c r="P48" i="22"/>
  <c r="P50" i="22"/>
  <c r="Q47" i="22"/>
  <c r="Q48" i="22"/>
  <c r="Q50" i="22"/>
  <c r="E37" i="22"/>
  <c r="D59" i="22"/>
  <c r="G37" i="21"/>
  <c r="G40" i="21"/>
  <c r="D191" i="53"/>
  <c r="G35" i="53"/>
  <c r="G88" i="53"/>
  <c r="E37" i="55"/>
  <c r="E94" i="55"/>
  <c r="G223" i="53"/>
  <c r="G156" i="53"/>
  <c r="F259" i="55"/>
  <c r="D146" i="55"/>
  <c r="F205" i="55"/>
  <c r="D260" i="53"/>
  <c r="D262" i="53"/>
  <c r="D22" i="55"/>
  <c r="D79" i="55"/>
  <c r="F208" i="53"/>
  <c r="F141" i="53"/>
  <c r="D139" i="55"/>
  <c r="F197" i="55"/>
  <c r="F252" i="55"/>
  <c r="N41" i="22"/>
  <c r="D51" i="55"/>
  <c r="D108" i="55"/>
  <c r="F143" i="53"/>
  <c r="F210" i="53"/>
  <c r="G175" i="53"/>
  <c r="G239" i="53"/>
  <c r="D20" i="55"/>
  <c r="D77" i="55"/>
  <c r="F46" i="53"/>
  <c r="F99" i="53"/>
  <c r="F257" i="55"/>
  <c r="D144" i="55"/>
  <c r="F203" i="55"/>
  <c r="G159" i="53"/>
  <c r="G226" i="53"/>
  <c r="E15" i="55"/>
  <c r="E72" i="55"/>
  <c r="G200" i="53"/>
  <c r="G133" i="53"/>
  <c r="F241" i="55"/>
  <c r="D128" i="55"/>
  <c r="F186" i="55"/>
  <c r="F275" i="55"/>
  <c r="D165" i="55"/>
  <c r="F224" i="55"/>
  <c r="E250" i="55"/>
  <c r="C137" i="55"/>
  <c r="E195" i="55"/>
  <c r="G225" i="53"/>
  <c r="G158" i="53"/>
  <c r="F165" i="53"/>
  <c r="F232" i="53"/>
  <c r="F235" i="55"/>
  <c r="D122" i="55"/>
  <c r="F180" i="55"/>
  <c r="G199" i="53"/>
  <c r="G132" i="53"/>
  <c r="F277" i="55"/>
  <c r="D167" i="55"/>
  <c r="F226" i="55"/>
  <c r="E11" i="55"/>
  <c r="G201" i="53"/>
  <c r="G134" i="53"/>
  <c r="E249" i="55"/>
  <c r="C136" i="55"/>
  <c r="E194" i="55"/>
  <c r="D31" i="55"/>
  <c r="D88" i="55"/>
  <c r="F24" i="53"/>
  <c r="F77" i="53"/>
  <c r="D48" i="55"/>
  <c r="D105" i="55"/>
  <c r="F262" i="55"/>
  <c r="D149" i="55"/>
  <c r="F208" i="55"/>
  <c r="F234" i="55"/>
  <c r="D121" i="55"/>
  <c r="F179" i="55"/>
  <c r="C33" i="55"/>
  <c r="F258" i="55"/>
  <c r="D145" i="55"/>
  <c r="F204" i="55"/>
  <c r="G265" i="55"/>
  <c r="E152" i="55"/>
  <c r="G211" i="55"/>
  <c r="D45" i="55"/>
  <c r="D102" i="55"/>
  <c r="H33" i="53"/>
  <c r="H86" i="53"/>
  <c r="I33" i="53"/>
  <c r="I86" i="53"/>
  <c r="D29" i="55"/>
  <c r="D86" i="55"/>
  <c r="D178" i="55"/>
  <c r="D284" i="55"/>
  <c r="D285" i="55"/>
  <c r="F45" i="53"/>
  <c r="F98" i="53"/>
  <c r="F139" i="53"/>
  <c r="F206" i="53"/>
  <c r="F235" i="53"/>
  <c r="F168" i="53"/>
  <c r="G198" i="53"/>
  <c r="G131" i="53"/>
  <c r="F211" i="53"/>
  <c r="F144" i="53"/>
  <c r="H227" i="53"/>
  <c r="H160" i="53"/>
  <c r="F217" i="53"/>
  <c r="F150" i="53"/>
  <c r="E271" i="55"/>
  <c r="C158" i="55"/>
  <c r="E217" i="55"/>
  <c r="E119" i="53"/>
  <c r="E118" i="53"/>
  <c r="F20" i="53"/>
  <c r="F73" i="53"/>
  <c r="C11" i="23"/>
  <c r="E30" i="55"/>
  <c r="E87" i="55"/>
  <c r="G44" i="22"/>
  <c r="E268" i="55"/>
  <c r="C155" i="55"/>
  <c r="E214" i="55"/>
  <c r="F22" i="53"/>
  <c r="F75" i="53"/>
  <c r="G54" i="53"/>
  <c r="G107" i="53"/>
  <c r="E272" i="55"/>
  <c r="C159" i="55"/>
  <c r="E218" i="55"/>
  <c r="F213" i="53"/>
  <c r="F146" i="53"/>
  <c r="C135" i="55"/>
  <c r="E193" i="55"/>
  <c r="E248" i="55"/>
  <c r="E183" i="53"/>
  <c r="E246" i="53"/>
  <c r="E274" i="55"/>
  <c r="C161" i="55"/>
  <c r="E220" i="55"/>
  <c r="G38" i="53"/>
  <c r="G91" i="53"/>
  <c r="G12" i="53"/>
  <c r="G65" i="53"/>
  <c r="E19" i="55"/>
  <c r="E76" i="55"/>
  <c r="E56" i="55"/>
  <c r="E113" i="55"/>
  <c r="D28" i="55"/>
  <c r="D85" i="55"/>
  <c r="G37" i="53"/>
  <c r="G90" i="53"/>
  <c r="F44" i="53"/>
  <c r="F97" i="53"/>
  <c r="M36" i="22"/>
  <c r="M38" i="22"/>
  <c r="E13" i="55"/>
  <c r="E70" i="55"/>
  <c r="G11" i="53"/>
  <c r="G64" i="53"/>
  <c r="E58" i="55"/>
  <c r="E115" i="55"/>
  <c r="D68" i="55"/>
  <c r="B65" i="55"/>
  <c r="D200" i="55"/>
  <c r="B10" i="55"/>
  <c r="G13" i="53"/>
  <c r="G66" i="53"/>
  <c r="I40" i="53"/>
  <c r="I93" i="53"/>
  <c r="H40" i="53"/>
  <c r="H93" i="53"/>
  <c r="E266" i="55"/>
  <c r="C153" i="55"/>
  <c r="E212" i="55"/>
  <c r="F52" i="53"/>
  <c r="F105" i="53"/>
  <c r="G173" i="53"/>
  <c r="D27" i="55"/>
  <c r="D84" i="55"/>
  <c r="F169" i="53"/>
  <c r="F236" i="53"/>
  <c r="G202" i="53"/>
  <c r="G135" i="53"/>
  <c r="E40" i="55"/>
  <c r="E97" i="55"/>
  <c r="E12" i="55"/>
  <c r="E69" i="55"/>
  <c r="E233" i="55"/>
  <c r="C120" i="55"/>
  <c r="E36" i="55"/>
  <c r="E93" i="55"/>
  <c r="F43" i="55"/>
  <c r="F100" i="55"/>
  <c r="G197" i="53"/>
  <c r="G130" i="53"/>
  <c r="E269" i="55"/>
  <c r="C156" i="55"/>
  <c r="E215" i="55"/>
  <c r="C134" i="55"/>
  <c r="E192" i="55"/>
  <c r="E247" i="55"/>
  <c r="E245" i="55"/>
  <c r="C132" i="55"/>
  <c r="E190" i="55"/>
  <c r="F260" i="55"/>
  <c r="D147" i="55"/>
  <c r="F206" i="55"/>
  <c r="F230" i="53"/>
  <c r="F163" i="53"/>
  <c r="F18" i="53"/>
  <c r="F71" i="53"/>
  <c r="F47" i="53"/>
  <c r="F100" i="53"/>
  <c r="G10" i="53"/>
  <c r="G63" i="53"/>
  <c r="F23" i="53"/>
  <c r="F76" i="53"/>
  <c r="H39" i="53"/>
  <c r="H92" i="53"/>
  <c r="I39" i="53"/>
  <c r="I92" i="53"/>
  <c r="L30" i="22"/>
  <c r="L32" i="22"/>
  <c r="L57" i="22"/>
  <c r="C61" i="55"/>
  <c r="F148" i="53"/>
  <c r="F215" i="53"/>
  <c r="F29" i="53"/>
  <c r="F82" i="53"/>
  <c r="E188" i="53"/>
  <c r="E251" i="53"/>
  <c r="F35" i="55"/>
  <c r="D49" i="55"/>
  <c r="D106" i="55"/>
  <c r="E116" i="53"/>
  <c r="E115" i="53"/>
  <c r="F216" i="53"/>
  <c r="F149" i="53"/>
  <c r="D46" i="55"/>
  <c r="D103" i="55"/>
  <c r="G242" i="53"/>
  <c r="G178" i="53"/>
  <c r="D50" i="55"/>
  <c r="D107" i="55"/>
  <c r="F25" i="53"/>
  <c r="F78" i="53"/>
  <c r="D26" i="55"/>
  <c r="D83" i="55"/>
  <c r="F238" i="53"/>
  <c r="F171" i="53"/>
  <c r="F207" i="53"/>
  <c r="F140" i="53"/>
  <c r="D52" i="55"/>
  <c r="D109" i="55"/>
  <c r="G203" i="53"/>
  <c r="G136" i="53"/>
  <c r="F278" i="55"/>
  <c r="D168" i="55"/>
  <c r="F227" i="55"/>
  <c r="F238" i="55"/>
  <c r="D125" i="55"/>
  <c r="F183" i="55"/>
  <c r="F53" i="53"/>
  <c r="F106" i="53"/>
  <c r="G174" i="53"/>
  <c r="F261" i="55"/>
  <c r="D148" i="55"/>
  <c r="F207" i="55"/>
  <c r="G263" i="55"/>
  <c r="E150" i="55"/>
  <c r="G209" i="55"/>
  <c r="F236" i="55"/>
  <c r="D123" i="55"/>
  <c r="F181" i="55"/>
  <c r="G224" i="53"/>
  <c r="G157" i="53"/>
  <c r="F209" i="53"/>
  <c r="F142" i="53"/>
  <c r="G155" i="53"/>
  <c r="G222" i="53"/>
  <c r="F231" i="53"/>
  <c r="F164" i="53"/>
  <c r="G240" i="53"/>
  <c r="G176" i="53"/>
  <c r="E182" i="53"/>
  <c r="E245" i="53"/>
  <c r="E246" i="55"/>
  <c r="C133" i="55"/>
  <c r="E191" i="55"/>
  <c r="H228" i="53"/>
  <c r="H161" i="53"/>
  <c r="D44" i="55"/>
  <c r="F48" i="53"/>
  <c r="F101" i="53"/>
  <c r="G14" i="53"/>
  <c r="G67" i="53"/>
  <c r="E17" i="55"/>
  <c r="E74" i="55"/>
  <c r="C130" i="55"/>
  <c r="E188" i="55"/>
  <c r="E243" i="55"/>
  <c r="G241" i="53"/>
  <c r="G177" i="53"/>
  <c r="G9" i="53"/>
  <c r="G62" i="53"/>
  <c r="D47" i="55"/>
  <c r="D104" i="55"/>
  <c r="D25" i="55"/>
  <c r="D82" i="55"/>
  <c r="D23" i="55"/>
  <c r="D80" i="55"/>
  <c r="E38" i="55"/>
  <c r="E95" i="55"/>
  <c r="F42" i="53"/>
  <c r="F95" i="53"/>
  <c r="G137" i="53"/>
  <c r="G204" i="53"/>
  <c r="F240" i="55"/>
  <c r="D127" i="55"/>
  <c r="F185" i="55"/>
  <c r="F276" i="55"/>
  <c r="D166" i="55"/>
  <c r="F225" i="55"/>
  <c r="H229" i="53"/>
  <c r="H162" i="53"/>
  <c r="F237" i="53"/>
  <c r="F170" i="53"/>
  <c r="F27" i="53"/>
  <c r="F80" i="53"/>
  <c r="G264" i="55"/>
  <c r="E151" i="55"/>
  <c r="G210" i="55"/>
  <c r="E92" i="55"/>
  <c r="C131" i="55"/>
  <c r="E189" i="55"/>
  <c r="E244" i="55"/>
  <c r="E114" i="53"/>
  <c r="F28" i="53"/>
  <c r="F81" i="53"/>
  <c r="E273" i="55"/>
  <c r="C160" i="55"/>
  <c r="E219" i="55"/>
  <c r="G57" i="53"/>
  <c r="G110" i="53"/>
  <c r="E242" i="55"/>
  <c r="C129" i="55"/>
  <c r="E187" i="55"/>
  <c r="F234" i="53"/>
  <c r="F167" i="53"/>
  <c r="F50" i="53"/>
  <c r="F103" i="53"/>
  <c r="F19" i="53"/>
  <c r="F72" i="53"/>
  <c r="F51" i="53"/>
  <c r="F104" i="53"/>
  <c r="G172" i="53"/>
  <c r="G15" i="53"/>
  <c r="G68" i="53"/>
  <c r="E59" i="55"/>
  <c r="E116" i="55"/>
  <c r="E16" i="55"/>
  <c r="E73" i="55"/>
  <c r="F237" i="55"/>
  <c r="D124" i="55"/>
  <c r="F182" i="55"/>
  <c r="I35" i="29"/>
  <c r="E39" i="55"/>
  <c r="E96" i="55"/>
  <c r="F41" i="55"/>
  <c r="F98" i="55"/>
  <c r="E14" i="55"/>
  <c r="E71" i="55"/>
  <c r="G36" i="53"/>
  <c r="G89" i="53"/>
  <c r="F21" i="53"/>
  <c r="F74" i="53"/>
  <c r="G34" i="53"/>
  <c r="G87" i="53"/>
  <c r="F43" i="53"/>
  <c r="F96" i="53"/>
  <c r="G55" i="53"/>
  <c r="G108" i="53"/>
  <c r="E250" i="53"/>
  <c r="E187" i="53"/>
  <c r="D24" i="55"/>
  <c r="D81" i="55"/>
  <c r="M54" i="22"/>
  <c r="M55" i="22"/>
  <c r="E253" i="55"/>
  <c r="C140" i="55"/>
  <c r="E198" i="55"/>
  <c r="F212" i="53"/>
  <c r="F145" i="53"/>
  <c r="E270" i="55"/>
  <c r="C157" i="55"/>
  <c r="E216" i="55"/>
  <c r="F239" i="55"/>
  <c r="D126" i="55"/>
  <c r="F184" i="55"/>
  <c r="D21" i="55"/>
  <c r="D78" i="55"/>
  <c r="G56" i="53"/>
  <c r="G109" i="53"/>
  <c r="E267" i="55"/>
  <c r="C154" i="55"/>
  <c r="E213" i="55"/>
  <c r="H221" i="53"/>
  <c r="H154" i="53"/>
  <c r="C138" i="55"/>
  <c r="E196" i="55"/>
  <c r="E251" i="55"/>
  <c r="F233" i="53"/>
  <c r="F166" i="53"/>
  <c r="G16" i="53"/>
  <c r="G69" i="53"/>
  <c r="E18" i="55"/>
  <c r="E75" i="55"/>
  <c r="E57" i="55"/>
  <c r="E114" i="55"/>
  <c r="I41" i="53"/>
  <c r="I94" i="53"/>
  <c r="H41" i="53"/>
  <c r="H94" i="53"/>
  <c r="F49" i="53"/>
  <c r="F102" i="53"/>
  <c r="F42" i="55"/>
  <c r="F99" i="55"/>
  <c r="E254" i="53"/>
  <c r="D38" i="22"/>
  <c r="D60" i="22"/>
  <c r="H176" i="29"/>
  <c r="H131" i="29"/>
  <c r="H146" i="29"/>
  <c r="H161" i="29"/>
  <c r="P49" i="22"/>
  <c r="Q49" i="22"/>
  <c r="F37" i="22"/>
  <c r="E59" i="22"/>
  <c r="E35" i="22"/>
  <c r="M56" i="22"/>
  <c r="N53" i="22"/>
  <c r="H37" i="21"/>
  <c r="H40" i="21"/>
  <c r="H25" i="68"/>
  <c r="F254" i="53"/>
  <c r="G259" i="55"/>
  <c r="E146" i="55"/>
  <c r="G205" i="55"/>
  <c r="F37" i="55"/>
  <c r="F94" i="55"/>
  <c r="E260" i="53"/>
  <c r="I35" i="53"/>
  <c r="I88" i="53"/>
  <c r="H35" i="53"/>
  <c r="H88" i="53"/>
  <c r="E191" i="53"/>
  <c r="H223" i="53"/>
  <c r="H156" i="53"/>
  <c r="M29" i="22"/>
  <c r="L60" i="22"/>
  <c r="N35" i="22"/>
  <c r="F18" i="55"/>
  <c r="F75" i="55"/>
  <c r="E21" i="55"/>
  <c r="E78" i="55"/>
  <c r="I229" i="53"/>
  <c r="I162" i="53"/>
  <c r="G240" i="55"/>
  <c r="E127" i="55"/>
  <c r="G185" i="55"/>
  <c r="H204" i="53"/>
  <c r="H137" i="53"/>
  <c r="I56" i="53"/>
  <c r="I109" i="53"/>
  <c r="H56" i="53"/>
  <c r="H109" i="53"/>
  <c r="D130" i="55"/>
  <c r="F188" i="55"/>
  <c r="F243" i="55"/>
  <c r="F246" i="55"/>
  <c r="D133" i="55"/>
  <c r="F191" i="55"/>
  <c r="G164" i="53"/>
  <c r="G231" i="53"/>
  <c r="G142" i="53"/>
  <c r="G209" i="53"/>
  <c r="G236" i="55"/>
  <c r="E123" i="55"/>
  <c r="G181" i="55"/>
  <c r="G261" i="55"/>
  <c r="E148" i="55"/>
  <c r="G207" i="55"/>
  <c r="F59" i="55"/>
  <c r="F116" i="55"/>
  <c r="G51" i="53"/>
  <c r="G104" i="53"/>
  <c r="H172" i="53"/>
  <c r="G50" i="53"/>
  <c r="G103" i="53"/>
  <c r="F245" i="53"/>
  <c r="F182" i="53"/>
  <c r="G27" i="53"/>
  <c r="G80" i="53"/>
  <c r="G42" i="53"/>
  <c r="G95" i="53"/>
  <c r="E23" i="55"/>
  <c r="E80" i="55"/>
  <c r="E25" i="55"/>
  <c r="E82" i="55"/>
  <c r="E47" i="55"/>
  <c r="E104" i="55"/>
  <c r="I14" i="53"/>
  <c r="I67" i="53"/>
  <c r="H14" i="53"/>
  <c r="H67" i="53"/>
  <c r="G48" i="53"/>
  <c r="G101" i="53"/>
  <c r="E52" i="55"/>
  <c r="E109" i="55"/>
  <c r="E26" i="55"/>
  <c r="E83" i="55"/>
  <c r="E50" i="55"/>
  <c r="E107" i="55"/>
  <c r="F271" i="55"/>
  <c r="D158" i="55"/>
  <c r="F217" i="55"/>
  <c r="G23" i="53"/>
  <c r="G76" i="53"/>
  <c r="G47" i="53"/>
  <c r="G100" i="53"/>
  <c r="F114" i="53"/>
  <c r="H265" i="55"/>
  <c r="F152" i="55"/>
  <c r="H211" i="55"/>
  <c r="E284" i="55"/>
  <c r="E178" i="55"/>
  <c r="E285" i="55"/>
  <c r="G262" i="55"/>
  <c r="E149" i="55"/>
  <c r="G208" i="55"/>
  <c r="F249" i="55"/>
  <c r="D136" i="55"/>
  <c r="F194" i="55"/>
  <c r="I228" i="53"/>
  <c r="I161" i="53"/>
  <c r="D282" i="55"/>
  <c r="D283" i="55"/>
  <c r="F58" i="55"/>
  <c r="F115" i="55"/>
  <c r="H225" i="53"/>
  <c r="H158" i="53"/>
  <c r="F56" i="55"/>
  <c r="F113" i="55"/>
  <c r="H200" i="53"/>
  <c r="H133" i="53"/>
  <c r="H226" i="53"/>
  <c r="H159" i="53"/>
  <c r="H239" i="53"/>
  <c r="H175" i="53"/>
  <c r="F253" i="53"/>
  <c r="H41" i="22"/>
  <c r="F187" i="53"/>
  <c r="F250" i="53"/>
  <c r="J221" i="53"/>
  <c r="J154" i="53"/>
  <c r="C10" i="55"/>
  <c r="C65" i="55"/>
  <c r="E200" i="55"/>
  <c r="G24" i="53"/>
  <c r="G77" i="53"/>
  <c r="F11" i="55"/>
  <c r="F15" i="55"/>
  <c r="F72" i="55"/>
  <c r="G167" i="53"/>
  <c r="G234" i="53"/>
  <c r="E51" i="55"/>
  <c r="E108" i="55"/>
  <c r="D131" i="55"/>
  <c r="F189" i="55"/>
  <c r="F244" i="55"/>
  <c r="E259" i="53"/>
  <c r="J229" i="53"/>
  <c r="J162" i="53"/>
  <c r="I16" i="53"/>
  <c r="I69" i="53"/>
  <c r="H16" i="53"/>
  <c r="H69" i="53"/>
  <c r="E24" i="55"/>
  <c r="E81" i="55"/>
  <c r="G43" i="53"/>
  <c r="G96" i="53"/>
  <c r="G21" i="53"/>
  <c r="G74" i="53"/>
  <c r="F14" i="55"/>
  <c r="F71" i="55"/>
  <c r="F39" i="55"/>
  <c r="F96" i="55"/>
  <c r="F16" i="55"/>
  <c r="F73" i="55"/>
  <c r="H203" i="53"/>
  <c r="H136" i="53"/>
  <c r="G207" i="53"/>
  <c r="G140" i="53"/>
  <c r="G216" i="53"/>
  <c r="G149" i="53"/>
  <c r="G260" i="55"/>
  <c r="E147" i="55"/>
  <c r="G206" i="55"/>
  <c r="I9" i="53"/>
  <c r="I62" i="53"/>
  <c r="H9" i="53"/>
  <c r="H62" i="53"/>
  <c r="G239" i="55"/>
  <c r="E126" i="55"/>
  <c r="G184" i="55"/>
  <c r="D101" i="55"/>
  <c r="D61" i="55"/>
  <c r="G146" i="53"/>
  <c r="G213" i="53"/>
  <c r="E49" i="55"/>
  <c r="E106" i="55"/>
  <c r="J227" i="53"/>
  <c r="J160" i="53"/>
  <c r="H198" i="53"/>
  <c r="H131" i="53"/>
  <c r="G206" i="53"/>
  <c r="G139" i="53"/>
  <c r="F118" i="53"/>
  <c r="G43" i="55"/>
  <c r="G100" i="55"/>
  <c r="H43" i="55"/>
  <c r="H100" i="55"/>
  <c r="F40" i="55"/>
  <c r="F97" i="55"/>
  <c r="E27" i="55"/>
  <c r="E84" i="55"/>
  <c r="G52" i="53"/>
  <c r="G105" i="53"/>
  <c r="H173" i="53"/>
  <c r="J228" i="53"/>
  <c r="J161" i="53"/>
  <c r="D33" i="55"/>
  <c r="H199" i="53"/>
  <c r="H132" i="53"/>
  <c r="G235" i="55"/>
  <c r="E122" i="55"/>
  <c r="G180" i="55"/>
  <c r="M37" i="22"/>
  <c r="I37" i="53"/>
  <c r="I90" i="53"/>
  <c r="H37" i="53"/>
  <c r="H90" i="53"/>
  <c r="G275" i="55"/>
  <c r="E165" i="55"/>
  <c r="G224" i="55"/>
  <c r="I12" i="53"/>
  <c r="I65" i="53"/>
  <c r="H12" i="53"/>
  <c r="H65" i="53"/>
  <c r="H54" i="53"/>
  <c r="H107" i="53"/>
  <c r="I54" i="53"/>
  <c r="I107" i="53"/>
  <c r="G252" i="55"/>
  <c r="E139" i="55"/>
  <c r="G197" i="55"/>
  <c r="F251" i="53"/>
  <c r="F188" i="53"/>
  <c r="G233" i="53"/>
  <c r="G166" i="53"/>
  <c r="D229" i="55"/>
  <c r="I221" i="53"/>
  <c r="I154" i="53"/>
  <c r="F270" i="55"/>
  <c r="D157" i="55"/>
  <c r="F216" i="55"/>
  <c r="F253" i="55"/>
  <c r="D140" i="55"/>
  <c r="F198" i="55"/>
  <c r="G46" i="53"/>
  <c r="G99" i="53"/>
  <c r="N42" i="22"/>
  <c r="E22" i="55"/>
  <c r="E79" i="55"/>
  <c r="D274" i="53"/>
  <c r="D276" i="53"/>
  <c r="H264" i="55"/>
  <c r="F151" i="55"/>
  <c r="H210" i="55"/>
  <c r="G237" i="53"/>
  <c r="G170" i="53"/>
  <c r="G276" i="55"/>
  <c r="E166" i="55"/>
  <c r="G225" i="55"/>
  <c r="I55" i="53"/>
  <c r="I108" i="53"/>
  <c r="H55" i="53"/>
  <c r="H108" i="53"/>
  <c r="I34" i="53"/>
  <c r="I87" i="53"/>
  <c r="H34" i="53"/>
  <c r="H87" i="53"/>
  <c r="H224" i="53"/>
  <c r="H157" i="53"/>
  <c r="H263" i="55"/>
  <c r="F150" i="55"/>
  <c r="H209" i="55"/>
  <c r="E125" i="55"/>
  <c r="G183" i="55"/>
  <c r="G238" i="55"/>
  <c r="I15" i="53"/>
  <c r="I68" i="53"/>
  <c r="H15" i="53"/>
  <c r="H68" i="53"/>
  <c r="G19" i="53"/>
  <c r="G72" i="53"/>
  <c r="H242" i="53"/>
  <c r="H178" i="53"/>
  <c r="G28" i="53"/>
  <c r="G81" i="53"/>
  <c r="G257" i="55"/>
  <c r="E144" i="55"/>
  <c r="G203" i="55"/>
  <c r="F38" i="55"/>
  <c r="F95" i="55"/>
  <c r="H197" i="53"/>
  <c r="H130" i="53"/>
  <c r="F17" i="55"/>
  <c r="F74" i="55"/>
  <c r="E44" i="55"/>
  <c r="G25" i="53"/>
  <c r="G78" i="53"/>
  <c r="F268" i="55"/>
  <c r="D155" i="55"/>
  <c r="F214" i="55"/>
  <c r="F246" i="53"/>
  <c r="F183" i="53"/>
  <c r="F92" i="55"/>
  <c r="G150" i="53"/>
  <c r="G217" i="53"/>
  <c r="I227" i="53"/>
  <c r="I160" i="53"/>
  <c r="I10" i="53"/>
  <c r="I63" i="53"/>
  <c r="H10" i="53"/>
  <c r="H63" i="53"/>
  <c r="G18" i="53"/>
  <c r="G71" i="53"/>
  <c r="F119" i="53"/>
  <c r="F115" i="53"/>
  <c r="G258" i="55"/>
  <c r="E145" i="55"/>
  <c r="G204" i="55"/>
  <c r="E121" i="55"/>
  <c r="G179" i="55"/>
  <c r="G234" i="55"/>
  <c r="H201" i="53"/>
  <c r="H134" i="53"/>
  <c r="D120" i="55"/>
  <c r="F233" i="55"/>
  <c r="I11" i="53"/>
  <c r="I64" i="53"/>
  <c r="H11" i="53"/>
  <c r="H64" i="53"/>
  <c r="F13" i="55"/>
  <c r="F70" i="55"/>
  <c r="G232" i="53"/>
  <c r="G165" i="53"/>
  <c r="F250" i="55"/>
  <c r="D137" i="55"/>
  <c r="F195" i="55"/>
  <c r="E128" i="55"/>
  <c r="G186" i="55"/>
  <c r="G241" i="55"/>
  <c r="G210" i="53"/>
  <c r="G143" i="53"/>
  <c r="F30" i="55"/>
  <c r="F87" i="55"/>
  <c r="G141" i="53"/>
  <c r="G208" i="53"/>
  <c r="G45" i="53"/>
  <c r="G98" i="53"/>
  <c r="D138" i="55"/>
  <c r="F196" i="55"/>
  <c r="F251" i="55"/>
  <c r="F267" i="55"/>
  <c r="D154" i="55"/>
  <c r="F213" i="55"/>
  <c r="E48" i="55"/>
  <c r="E105" i="55"/>
  <c r="E31" i="55"/>
  <c r="E88" i="55"/>
  <c r="F242" i="55"/>
  <c r="D129" i="55"/>
  <c r="F187" i="55"/>
  <c r="C36" i="29"/>
  <c r="H42" i="55"/>
  <c r="H99" i="55"/>
  <c r="G42" i="55"/>
  <c r="G99" i="55"/>
  <c r="G49" i="53"/>
  <c r="G102" i="53"/>
  <c r="F57" i="55"/>
  <c r="F114" i="55"/>
  <c r="H241" i="53"/>
  <c r="H177" i="53"/>
  <c r="N54" i="22"/>
  <c r="N55" i="22"/>
  <c r="H240" i="53"/>
  <c r="H176" i="53"/>
  <c r="H222" i="53"/>
  <c r="H155" i="53"/>
  <c r="I36" i="53"/>
  <c r="I89" i="53"/>
  <c r="H36" i="53"/>
  <c r="H89" i="53"/>
  <c r="H41" i="55"/>
  <c r="H98" i="55"/>
  <c r="G41" i="55"/>
  <c r="G98" i="55"/>
  <c r="G278" i="55"/>
  <c r="E168" i="55"/>
  <c r="G227" i="55"/>
  <c r="G171" i="53"/>
  <c r="G238" i="53"/>
  <c r="I57" i="53"/>
  <c r="I110" i="53"/>
  <c r="H57" i="53"/>
  <c r="H110" i="53"/>
  <c r="G215" i="53"/>
  <c r="G148" i="53"/>
  <c r="G163" i="53"/>
  <c r="G230" i="53"/>
  <c r="F245" i="55"/>
  <c r="D132" i="55"/>
  <c r="F190" i="55"/>
  <c r="D134" i="55"/>
  <c r="F192" i="55"/>
  <c r="F247" i="55"/>
  <c r="F269" i="55"/>
  <c r="D156" i="55"/>
  <c r="F215" i="55"/>
  <c r="H202" i="53"/>
  <c r="H135" i="53"/>
  <c r="G236" i="53"/>
  <c r="G169" i="53"/>
  <c r="G53" i="53"/>
  <c r="G106" i="53"/>
  <c r="H174" i="53"/>
  <c r="F274" i="55"/>
  <c r="D161" i="55"/>
  <c r="F220" i="55"/>
  <c r="D135" i="55"/>
  <c r="F193" i="55"/>
  <c r="F248" i="55"/>
  <c r="F272" i="55"/>
  <c r="D159" i="55"/>
  <c r="F218" i="55"/>
  <c r="E46" i="55"/>
  <c r="E103" i="55"/>
  <c r="F247" i="53"/>
  <c r="F184" i="53"/>
  <c r="G35" i="55"/>
  <c r="H35" i="55"/>
  <c r="G29" i="53"/>
  <c r="G82" i="53"/>
  <c r="L31" i="22"/>
  <c r="L58" i="22"/>
  <c r="C89" i="22"/>
  <c r="G211" i="53"/>
  <c r="G144" i="53"/>
  <c r="G168" i="53"/>
  <c r="G235" i="53"/>
  <c r="F116" i="53"/>
  <c r="F36" i="55"/>
  <c r="F93" i="55"/>
  <c r="F12" i="55"/>
  <c r="F69" i="55"/>
  <c r="I13" i="53"/>
  <c r="I66" i="53"/>
  <c r="H13" i="53"/>
  <c r="H66" i="53"/>
  <c r="G277" i="55"/>
  <c r="E167" i="55"/>
  <c r="G226" i="55"/>
  <c r="G44" i="53"/>
  <c r="G97" i="53"/>
  <c r="E28" i="55"/>
  <c r="E85" i="55"/>
  <c r="F19" i="55"/>
  <c r="F76" i="55"/>
  <c r="I38" i="53"/>
  <c r="I91" i="53"/>
  <c r="H38" i="53"/>
  <c r="H91" i="53"/>
  <c r="G22" i="53"/>
  <c r="G75" i="53"/>
  <c r="D11" i="23"/>
  <c r="F11" i="23"/>
  <c r="G20" i="53"/>
  <c r="G73" i="53"/>
  <c r="E29" i="55"/>
  <c r="E86" i="55"/>
  <c r="E45" i="55"/>
  <c r="E102" i="55"/>
  <c r="G145" i="53"/>
  <c r="G212" i="53"/>
  <c r="E68" i="55"/>
  <c r="E124" i="55"/>
  <c r="G182" i="55"/>
  <c r="G237" i="55"/>
  <c r="E20" i="55"/>
  <c r="E77" i="55"/>
  <c r="F273" i="55"/>
  <c r="D160" i="55"/>
  <c r="F219" i="55"/>
  <c r="I161" i="29"/>
  <c r="I146" i="29"/>
  <c r="I131" i="29"/>
  <c r="I176" i="29"/>
  <c r="E57" i="22"/>
  <c r="D14" i="69"/>
  <c r="D16" i="69"/>
  <c r="E38" i="22"/>
  <c r="G37" i="22"/>
  <c r="F59" i="22"/>
  <c r="I25" i="68"/>
  <c r="E262" i="53"/>
  <c r="G254" i="53"/>
  <c r="H37" i="55"/>
  <c r="H94" i="55"/>
  <c r="G37" i="55"/>
  <c r="G94" i="55"/>
  <c r="H259" i="55"/>
  <c r="F146" i="55"/>
  <c r="H205" i="55"/>
  <c r="J156" i="53"/>
  <c r="J223" i="53"/>
  <c r="F191" i="53"/>
  <c r="I223" i="53"/>
  <c r="I156" i="53"/>
  <c r="H258" i="55"/>
  <c r="F145" i="55"/>
  <c r="H204" i="55"/>
  <c r="H92" i="55"/>
  <c r="G270" i="55"/>
  <c r="E157" i="55"/>
  <c r="G216" i="55"/>
  <c r="H206" i="53"/>
  <c r="H139" i="53"/>
  <c r="I28" i="53"/>
  <c r="I81" i="53"/>
  <c r="H28" i="53"/>
  <c r="H81" i="53"/>
  <c r="F22" i="55"/>
  <c r="F79" i="55"/>
  <c r="H40" i="55"/>
  <c r="H97" i="55"/>
  <c r="G40" i="55"/>
  <c r="G97" i="55"/>
  <c r="G271" i="55"/>
  <c r="E158" i="55"/>
  <c r="G217" i="55"/>
  <c r="E129" i="55"/>
  <c r="G187" i="55"/>
  <c r="G242" i="55"/>
  <c r="F29" i="55"/>
  <c r="F86" i="55"/>
  <c r="I263" i="55"/>
  <c r="G150" i="55"/>
  <c r="I209" i="55"/>
  <c r="H260" i="55"/>
  <c r="F147" i="55"/>
  <c r="H206" i="55"/>
  <c r="I19" i="53"/>
  <c r="I72" i="53"/>
  <c r="H19" i="53"/>
  <c r="H72" i="53"/>
  <c r="E136" i="55"/>
  <c r="G194" i="55"/>
  <c r="G249" i="55"/>
  <c r="E133" i="55"/>
  <c r="G191" i="55"/>
  <c r="G246" i="55"/>
  <c r="F26" i="55"/>
  <c r="F83" i="55"/>
  <c r="I42" i="53"/>
  <c r="I95" i="53"/>
  <c r="H42" i="53"/>
  <c r="H95" i="53"/>
  <c r="J241" i="53"/>
  <c r="J177" i="53"/>
  <c r="G267" i="55"/>
  <c r="E154" i="55"/>
  <c r="G213" i="55"/>
  <c r="H208" i="53"/>
  <c r="H141" i="53"/>
  <c r="H210" i="53"/>
  <c r="H143" i="53"/>
  <c r="I226" i="53"/>
  <c r="I159" i="53"/>
  <c r="F128" i="55"/>
  <c r="H186" i="55"/>
  <c r="H241" i="55"/>
  <c r="I44" i="53"/>
  <c r="I97" i="53"/>
  <c r="H44" i="53"/>
  <c r="H97" i="53"/>
  <c r="H36" i="55"/>
  <c r="H93" i="55"/>
  <c r="G36" i="55"/>
  <c r="G93" i="55"/>
  <c r="L59" i="22"/>
  <c r="G92" i="55"/>
  <c r="F46" i="55"/>
  <c r="F103" i="55"/>
  <c r="J263" i="55"/>
  <c r="H150" i="55"/>
  <c r="I49" i="53"/>
  <c r="I102" i="53"/>
  <c r="H49" i="53"/>
  <c r="H102" i="53"/>
  <c r="F31" i="55"/>
  <c r="F88" i="55"/>
  <c r="F48" i="55"/>
  <c r="F105" i="55"/>
  <c r="H235" i="55"/>
  <c r="F122" i="55"/>
  <c r="H180" i="55"/>
  <c r="I18" i="53"/>
  <c r="I71" i="53"/>
  <c r="H18" i="53"/>
  <c r="H71" i="53"/>
  <c r="E101" i="55"/>
  <c r="E61" i="55"/>
  <c r="H38" i="55"/>
  <c r="H95" i="55"/>
  <c r="G38" i="55"/>
  <c r="G95" i="55"/>
  <c r="I203" i="53"/>
  <c r="I136" i="53"/>
  <c r="I222" i="53"/>
  <c r="I155" i="53"/>
  <c r="I240" i="53"/>
  <c r="I176" i="53"/>
  <c r="N43" i="22"/>
  <c r="F27" i="55"/>
  <c r="F84" i="55"/>
  <c r="F49" i="55"/>
  <c r="F106" i="55"/>
  <c r="F266" i="55"/>
  <c r="D153" i="55"/>
  <c r="F212" i="55"/>
  <c r="H261" i="55"/>
  <c r="F148" i="55"/>
  <c r="H207" i="55"/>
  <c r="H209" i="53"/>
  <c r="H142" i="53"/>
  <c r="H231" i="53"/>
  <c r="H164" i="53"/>
  <c r="J204" i="53"/>
  <c r="J137" i="53"/>
  <c r="F51" i="55"/>
  <c r="F108" i="55"/>
  <c r="I24" i="53"/>
  <c r="I77" i="53"/>
  <c r="H24" i="53"/>
  <c r="H77" i="53"/>
  <c r="E282" i="55"/>
  <c r="E283" i="55"/>
  <c r="H211" i="53"/>
  <c r="H144" i="53"/>
  <c r="G272" i="55"/>
  <c r="E159" i="55"/>
  <c r="G218" i="55"/>
  <c r="G274" i="55"/>
  <c r="E161" i="55"/>
  <c r="G220" i="55"/>
  <c r="I202" i="53"/>
  <c r="I135" i="53"/>
  <c r="G269" i="55"/>
  <c r="E156" i="55"/>
  <c r="G215" i="55"/>
  <c r="E132" i="55"/>
  <c r="G190" i="55"/>
  <c r="G245" i="55"/>
  <c r="H215" i="53"/>
  <c r="H148" i="53"/>
  <c r="H238" i="53"/>
  <c r="H171" i="53"/>
  <c r="H278" i="55"/>
  <c r="F168" i="55"/>
  <c r="H227" i="55"/>
  <c r="G243" i="55"/>
  <c r="E130" i="55"/>
  <c r="G188" i="55"/>
  <c r="G268" i="55"/>
  <c r="E155" i="55"/>
  <c r="G214" i="55"/>
  <c r="H237" i="53"/>
  <c r="H170" i="53"/>
  <c r="E140" i="55"/>
  <c r="G198" i="55"/>
  <c r="G253" i="55"/>
  <c r="J199" i="53"/>
  <c r="J132" i="53"/>
  <c r="H257" i="55"/>
  <c r="F144" i="55"/>
  <c r="H203" i="55"/>
  <c r="G114" i="53"/>
  <c r="G250" i="53"/>
  <c r="G187" i="53"/>
  <c r="H16" i="55"/>
  <c r="H73" i="55"/>
  <c r="G16" i="55"/>
  <c r="G73" i="55"/>
  <c r="H212" i="53"/>
  <c r="H145" i="53"/>
  <c r="H56" i="55"/>
  <c r="H113" i="55"/>
  <c r="G56" i="55"/>
  <c r="G113" i="55"/>
  <c r="H47" i="53"/>
  <c r="H100" i="53"/>
  <c r="I47" i="53"/>
  <c r="I100" i="53"/>
  <c r="H236" i="53"/>
  <c r="H169" i="53"/>
  <c r="F25" i="55"/>
  <c r="F82" i="55"/>
  <c r="H51" i="53"/>
  <c r="H104" i="53"/>
  <c r="I172" i="53"/>
  <c r="I51" i="53"/>
  <c r="I104" i="53"/>
  <c r="H18" i="55"/>
  <c r="H75" i="55"/>
  <c r="G18" i="55"/>
  <c r="G75" i="55"/>
  <c r="M30" i="22"/>
  <c r="M58" i="22"/>
  <c r="D89" i="22"/>
  <c r="M57" i="22"/>
  <c r="F45" i="55"/>
  <c r="F102" i="55"/>
  <c r="J226" i="53"/>
  <c r="J159" i="53"/>
  <c r="H232" i="53"/>
  <c r="H165" i="53"/>
  <c r="I201" i="53"/>
  <c r="I134" i="53"/>
  <c r="F121" i="55"/>
  <c r="H179" i="55"/>
  <c r="H234" i="55"/>
  <c r="H217" i="53"/>
  <c r="H150" i="53"/>
  <c r="I242" i="53"/>
  <c r="I178" i="53"/>
  <c r="I224" i="53"/>
  <c r="I157" i="53"/>
  <c r="H276" i="55"/>
  <c r="F166" i="55"/>
  <c r="H225" i="55"/>
  <c r="I264" i="55"/>
  <c r="G151" i="55"/>
  <c r="I210" i="55"/>
  <c r="H233" i="53"/>
  <c r="H166" i="53"/>
  <c r="H252" i="55"/>
  <c r="F139" i="55"/>
  <c r="H197" i="55"/>
  <c r="H13" i="55"/>
  <c r="H70" i="55"/>
  <c r="G13" i="55"/>
  <c r="G70" i="55"/>
  <c r="F284" i="55"/>
  <c r="F285" i="55"/>
  <c r="F178" i="55"/>
  <c r="G246" i="53"/>
  <c r="G183" i="53"/>
  <c r="I198" i="53"/>
  <c r="I131" i="53"/>
  <c r="F44" i="55"/>
  <c r="F101" i="55"/>
  <c r="G119" i="53"/>
  <c r="G118" i="53"/>
  <c r="J203" i="53"/>
  <c r="J136" i="53"/>
  <c r="J222" i="53"/>
  <c r="J155" i="53"/>
  <c r="J240" i="53"/>
  <c r="J176" i="53"/>
  <c r="H234" i="53"/>
  <c r="H167" i="53"/>
  <c r="J239" i="53"/>
  <c r="J175" i="53"/>
  <c r="I200" i="53"/>
  <c r="I133" i="53"/>
  <c r="I225" i="53"/>
  <c r="I158" i="53"/>
  <c r="J265" i="55"/>
  <c r="H152" i="55"/>
  <c r="I197" i="53"/>
  <c r="I130" i="53"/>
  <c r="H39" i="55"/>
  <c r="H96" i="55"/>
  <c r="G39" i="55"/>
  <c r="G96" i="55"/>
  <c r="I21" i="53"/>
  <c r="I74" i="53"/>
  <c r="H21" i="53"/>
  <c r="H74" i="53"/>
  <c r="H43" i="53"/>
  <c r="H96" i="53"/>
  <c r="I43" i="53"/>
  <c r="I96" i="53"/>
  <c r="H15" i="55"/>
  <c r="H72" i="55"/>
  <c r="G15" i="55"/>
  <c r="G72" i="55"/>
  <c r="H11" i="55"/>
  <c r="G11" i="55"/>
  <c r="H277" i="55"/>
  <c r="F167" i="55"/>
  <c r="H226" i="55"/>
  <c r="E229" i="55"/>
  <c r="G182" i="53"/>
  <c r="G245" i="53"/>
  <c r="I23" i="53"/>
  <c r="I76" i="53"/>
  <c r="H23" i="53"/>
  <c r="H76" i="53"/>
  <c r="F50" i="55"/>
  <c r="F107" i="55"/>
  <c r="F52" i="55"/>
  <c r="F109" i="55"/>
  <c r="J202" i="53"/>
  <c r="J135" i="53"/>
  <c r="F47" i="55"/>
  <c r="F104" i="55"/>
  <c r="F23" i="55"/>
  <c r="F80" i="55"/>
  <c r="I27" i="53"/>
  <c r="I80" i="53"/>
  <c r="H27" i="53"/>
  <c r="H80" i="53"/>
  <c r="I50" i="53"/>
  <c r="I103" i="53"/>
  <c r="H50" i="53"/>
  <c r="H103" i="53"/>
  <c r="H59" i="55"/>
  <c r="H116" i="55"/>
  <c r="G59" i="55"/>
  <c r="G116" i="55"/>
  <c r="F21" i="55"/>
  <c r="F78" i="55"/>
  <c r="N36" i="22"/>
  <c r="G253" i="53"/>
  <c r="F259" i="53"/>
  <c r="E33" i="55"/>
  <c r="F28" i="55"/>
  <c r="F85" i="55"/>
  <c r="I25" i="53"/>
  <c r="I78" i="53"/>
  <c r="H25" i="53"/>
  <c r="H78" i="53"/>
  <c r="H17" i="55"/>
  <c r="H74" i="55"/>
  <c r="G17" i="55"/>
  <c r="G74" i="55"/>
  <c r="H14" i="55"/>
  <c r="H71" i="55"/>
  <c r="G14" i="55"/>
  <c r="G71" i="55"/>
  <c r="I204" i="53"/>
  <c r="I137" i="53"/>
  <c r="G273" i="55"/>
  <c r="E160" i="55"/>
  <c r="G219" i="55"/>
  <c r="B9" i="21"/>
  <c r="I20" i="53"/>
  <c r="I73" i="53"/>
  <c r="H20" i="53"/>
  <c r="H73" i="53"/>
  <c r="I22" i="53"/>
  <c r="I75" i="53"/>
  <c r="H22" i="53"/>
  <c r="H75" i="53"/>
  <c r="H19" i="55"/>
  <c r="H76" i="55"/>
  <c r="G19" i="55"/>
  <c r="G76" i="55"/>
  <c r="F20" i="55"/>
  <c r="F77" i="55"/>
  <c r="E120" i="55"/>
  <c r="G233" i="55"/>
  <c r="G251" i="55"/>
  <c r="E138" i="55"/>
  <c r="G196" i="55"/>
  <c r="E11" i="23"/>
  <c r="G11" i="23"/>
  <c r="E137" i="55"/>
  <c r="G195" i="55"/>
  <c r="G250" i="55"/>
  <c r="J201" i="53"/>
  <c r="J134" i="53"/>
  <c r="H12" i="55"/>
  <c r="H69" i="55"/>
  <c r="G12" i="55"/>
  <c r="G69" i="55"/>
  <c r="G184" i="53"/>
  <c r="G247" i="53"/>
  <c r="I29" i="53"/>
  <c r="I82" i="53"/>
  <c r="H29" i="53"/>
  <c r="H82" i="53"/>
  <c r="H53" i="53"/>
  <c r="H106" i="53"/>
  <c r="I174" i="53"/>
  <c r="I53" i="53"/>
  <c r="I106" i="53"/>
  <c r="J242" i="53"/>
  <c r="J178" i="53"/>
  <c r="J224" i="53"/>
  <c r="J157" i="53"/>
  <c r="N56" i="22"/>
  <c r="O53" i="22"/>
  <c r="H57" i="55"/>
  <c r="H114" i="55"/>
  <c r="G57" i="55"/>
  <c r="G114" i="55"/>
  <c r="J264" i="55"/>
  <c r="H151" i="55"/>
  <c r="I45" i="53"/>
  <c r="I98" i="53"/>
  <c r="H45" i="53"/>
  <c r="H98" i="53"/>
  <c r="H30" i="55"/>
  <c r="H87" i="55"/>
  <c r="G30" i="55"/>
  <c r="G87" i="55"/>
  <c r="I199" i="53"/>
  <c r="I132" i="53"/>
  <c r="G188" i="53"/>
  <c r="G251" i="53"/>
  <c r="J198" i="53"/>
  <c r="J131" i="53"/>
  <c r="H213" i="53"/>
  <c r="H146" i="53"/>
  <c r="H239" i="55"/>
  <c r="F126" i="55"/>
  <c r="H184" i="55"/>
  <c r="G116" i="53"/>
  <c r="G115" i="53"/>
  <c r="H216" i="53"/>
  <c r="H149" i="53"/>
  <c r="H207" i="53"/>
  <c r="H140" i="53"/>
  <c r="G244" i="55"/>
  <c r="E131" i="55"/>
  <c r="G189" i="55"/>
  <c r="N44" i="22"/>
  <c r="I46" i="53"/>
  <c r="I99" i="53"/>
  <c r="H46" i="53"/>
  <c r="H99" i="53"/>
  <c r="I239" i="53"/>
  <c r="I175" i="53"/>
  <c r="J200" i="53"/>
  <c r="J133" i="53"/>
  <c r="J225" i="53"/>
  <c r="J158" i="53"/>
  <c r="D10" i="55"/>
  <c r="D65" i="55"/>
  <c r="F200" i="55"/>
  <c r="I52" i="53"/>
  <c r="I105" i="53"/>
  <c r="H52" i="53"/>
  <c r="H105" i="53"/>
  <c r="I173" i="53"/>
  <c r="H262" i="55"/>
  <c r="F149" i="55"/>
  <c r="H208" i="55"/>
  <c r="I265" i="55"/>
  <c r="G152" i="55"/>
  <c r="I211" i="55"/>
  <c r="J197" i="53"/>
  <c r="J130" i="53"/>
  <c r="F125" i="55"/>
  <c r="H183" i="55"/>
  <c r="H238" i="55"/>
  <c r="H236" i="55"/>
  <c r="F123" i="55"/>
  <c r="H181" i="55"/>
  <c r="F24" i="55"/>
  <c r="F81" i="55"/>
  <c r="F124" i="55"/>
  <c r="H182" i="55"/>
  <c r="H237" i="55"/>
  <c r="F68" i="55"/>
  <c r="H44" i="22"/>
  <c r="H275" i="55"/>
  <c r="F165" i="55"/>
  <c r="H224" i="55"/>
  <c r="H58" i="55"/>
  <c r="H115" i="55"/>
  <c r="G58" i="55"/>
  <c r="G115" i="55"/>
  <c r="H235" i="53"/>
  <c r="H168" i="53"/>
  <c r="G248" i="55"/>
  <c r="E135" i="55"/>
  <c r="G193" i="55"/>
  <c r="I48" i="53"/>
  <c r="I101" i="53"/>
  <c r="H48" i="53"/>
  <c r="H101" i="53"/>
  <c r="G247" i="55"/>
  <c r="E134" i="55"/>
  <c r="G192" i="55"/>
  <c r="H230" i="53"/>
  <c r="H163" i="53"/>
  <c r="I241" i="53"/>
  <c r="I177" i="53"/>
  <c r="H240" i="55"/>
  <c r="F127" i="55"/>
  <c r="H185" i="55"/>
  <c r="C123" i="29"/>
  <c r="C138" i="29"/>
  <c r="C168" i="29"/>
  <c r="C153" i="29"/>
  <c r="D36" i="29"/>
  <c r="F8" i="61"/>
  <c r="G59" i="22"/>
  <c r="H37" i="22"/>
  <c r="F35" i="22"/>
  <c r="E60" i="22"/>
  <c r="F17" i="61"/>
  <c r="M31" i="22"/>
  <c r="M59" i="22"/>
  <c r="J209" i="55"/>
  <c r="E274" i="53"/>
  <c r="E276" i="53"/>
  <c r="J172" i="53"/>
  <c r="F260" i="53"/>
  <c r="F262" i="53"/>
  <c r="G146" i="55"/>
  <c r="I205" i="55"/>
  <c r="I259" i="55"/>
  <c r="G260" i="53"/>
  <c r="H146" i="55"/>
  <c r="J259" i="55"/>
  <c r="F61" i="55"/>
  <c r="G191" i="53"/>
  <c r="J233" i="53"/>
  <c r="J166" i="53"/>
  <c r="I208" i="53"/>
  <c r="I141" i="53"/>
  <c r="J231" i="53"/>
  <c r="J164" i="53"/>
  <c r="H116" i="53"/>
  <c r="H115" i="53"/>
  <c r="H251" i="53"/>
  <c r="H188" i="53"/>
  <c r="J275" i="55"/>
  <c r="H165" i="55"/>
  <c r="J206" i="53"/>
  <c r="J139" i="53"/>
  <c r="H46" i="55"/>
  <c r="H103" i="55"/>
  <c r="G46" i="55"/>
  <c r="G103" i="55"/>
  <c r="J230" i="53"/>
  <c r="J163" i="53"/>
  <c r="I262" i="55"/>
  <c r="G149" i="55"/>
  <c r="I208" i="55"/>
  <c r="J216" i="53"/>
  <c r="J149" i="53"/>
  <c r="F133" i="55"/>
  <c r="H191" i="55"/>
  <c r="H246" i="55"/>
  <c r="I115" i="53"/>
  <c r="F282" i="55"/>
  <c r="F283" i="55"/>
  <c r="O41" i="22"/>
  <c r="H246" i="53"/>
  <c r="H183" i="53"/>
  <c r="F37" i="61"/>
  <c r="C9" i="21"/>
  <c r="I252" i="55"/>
  <c r="G139" i="55"/>
  <c r="I197" i="55"/>
  <c r="J276" i="55"/>
  <c r="H166" i="55"/>
  <c r="I217" i="53"/>
  <c r="I150" i="53"/>
  <c r="G121" i="55"/>
  <c r="I179" i="55"/>
  <c r="I234" i="55"/>
  <c r="C12" i="23"/>
  <c r="G284" i="55"/>
  <c r="G285" i="55"/>
  <c r="G178" i="55"/>
  <c r="J241" i="55"/>
  <c r="H128" i="55"/>
  <c r="J208" i="53"/>
  <c r="J141" i="53"/>
  <c r="C33" i="29"/>
  <c r="I239" i="55"/>
  <c r="G126" i="55"/>
  <c r="I184" i="55"/>
  <c r="F137" i="55"/>
  <c r="H195" i="55"/>
  <c r="H250" i="55"/>
  <c r="N38" i="22"/>
  <c r="O35" i="22"/>
  <c r="J278" i="55"/>
  <c r="H168" i="55"/>
  <c r="I215" i="53"/>
  <c r="I148" i="53"/>
  <c r="H269" i="55"/>
  <c r="F156" i="55"/>
  <c r="H215" i="55"/>
  <c r="H274" i="55"/>
  <c r="F161" i="55"/>
  <c r="H220" i="55"/>
  <c r="I211" i="53"/>
  <c r="I144" i="53"/>
  <c r="H68" i="55"/>
  <c r="I231" i="53"/>
  <c r="I164" i="53"/>
  <c r="J261" i="55"/>
  <c r="H148" i="55"/>
  <c r="H114" i="53"/>
  <c r="H254" i="53"/>
  <c r="H266" i="55"/>
  <c r="F153" i="55"/>
  <c r="I235" i="55"/>
  <c r="G122" i="55"/>
  <c r="I180" i="55"/>
  <c r="G125" i="55"/>
  <c r="I183" i="55"/>
  <c r="I238" i="55"/>
  <c r="H245" i="53"/>
  <c r="H182" i="53"/>
  <c r="D290" i="55"/>
  <c r="D292" i="55"/>
  <c r="J212" i="53"/>
  <c r="J145" i="53"/>
  <c r="H49" i="55"/>
  <c r="H106" i="55"/>
  <c r="G49" i="55"/>
  <c r="G106" i="55"/>
  <c r="H48" i="55"/>
  <c r="H105" i="55"/>
  <c r="G48" i="55"/>
  <c r="G105" i="55"/>
  <c r="I237" i="53"/>
  <c r="I170" i="53"/>
  <c r="I258" i="55"/>
  <c r="G145" i="55"/>
  <c r="I204" i="55"/>
  <c r="H248" i="55"/>
  <c r="F135" i="55"/>
  <c r="H193" i="55"/>
  <c r="H253" i="53"/>
  <c r="J262" i="55"/>
  <c r="H149" i="55"/>
  <c r="H244" i="55"/>
  <c r="F131" i="55"/>
  <c r="H189" i="55"/>
  <c r="G259" i="53"/>
  <c r="J236" i="53"/>
  <c r="J169" i="53"/>
  <c r="I114" i="53"/>
  <c r="J234" i="53"/>
  <c r="J167" i="53"/>
  <c r="O54" i="22"/>
  <c r="O55" i="22"/>
  <c r="H123" i="55"/>
  <c r="J236" i="55"/>
  <c r="H23" i="55"/>
  <c r="H80" i="55"/>
  <c r="G23" i="55"/>
  <c r="G80" i="55"/>
  <c r="I261" i="55"/>
  <c r="G148" i="55"/>
  <c r="I207" i="55"/>
  <c r="H25" i="55"/>
  <c r="H82" i="55"/>
  <c r="G25" i="55"/>
  <c r="G82" i="55"/>
  <c r="N37" i="22"/>
  <c r="I212" i="53"/>
  <c r="I145" i="53"/>
  <c r="H271" i="55"/>
  <c r="F158" i="55"/>
  <c r="H217" i="55"/>
  <c r="J260" i="55"/>
  <c r="H147" i="55"/>
  <c r="F120" i="55"/>
  <c r="H233" i="55"/>
  <c r="I277" i="55"/>
  <c r="G167" i="55"/>
  <c r="I226" i="55"/>
  <c r="I41" i="22"/>
  <c r="F33" i="55"/>
  <c r="H24" i="55"/>
  <c r="H81" i="55"/>
  <c r="G24" i="55"/>
  <c r="G81" i="55"/>
  <c r="I119" i="53"/>
  <c r="H247" i="53"/>
  <c r="H184" i="53"/>
  <c r="H139" i="55"/>
  <c r="J197" i="55"/>
  <c r="J252" i="55"/>
  <c r="J210" i="55"/>
  <c r="J217" i="53"/>
  <c r="J150" i="53"/>
  <c r="J234" i="55"/>
  <c r="H121" i="55"/>
  <c r="F129" i="55"/>
  <c r="H187" i="55"/>
  <c r="H242" i="55"/>
  <c r="I210" i="53"/>
  <c r="I143" i="53"/>
  <c r="H126" i="55"/>
  <c r="J184" i="55"/>
  <c r="J239" i="55"/>
  <c r="H28" i="55"/>
  <c r="H85" i="55"/>
  <c r="G28" i="55"/>
  <c r="G85" i="55"/>
  <c r="H243" i="55"/>
  <c r="F130" i="55"/>
  <c r="H188" i="55"/>
  <c r="I238" i="53"/>
  <c r="I171" i="53"/>
  <c r="J215" i="53"/>
  <c r="J148" i="53"/>
  <c r="G47" i="55"/>
  <c r="G104" i="55"/>
  <c r="H47" i="55"/>
  <c r="H104" i="55"/>
  <c r="H52" i="55"/>
  <c r="H109" i="55"/>
  <c r="G52" i="55"/>
  <c r="G109" i="55"/>
  <c r="J211" i="53"/>
  <c r="J144" i="53"/>
  <c r="G124" i="55"/>
  <c r="I182" i="55"/>
  <c r="I237" i="55"/>
  <c r="I209" i="53"/>
  <c r="I142" i="53"/>
  <c r="J211" i="55"/>
  <c r="H44" i="55"/>
  <c r="H101" i="55"/>
  <c r="G44" i="55"/>
  <c r="G101" i="55"/>
  <c r="F229" i="55"/>
  <c r="H122" i="55"/>
  <c r="J235" i="55"/>
  <c r="H267" i="55"/>
  <c r="F154" i="55"/>
  <c r="H213" i="55"/>
  <c r="M32" i="22"/>
  <c r="J238" i="55"/>
  <c r="H125" i="55"/>
  <c r="H273" i="55"/>
  <c r="F160" i="55"/>
  <c r="H219" i="55"/>
  <c r="H27" i="55"/>
  <c r="H84" i="55"/>
  <c r="G27" i="55"/>
  <c r="G84" i="55"/>
  <c r="G266" i="55"/>
  <c r="E153" i="55"/>
  <c r="G212" i="55"/>
  <c r="H31" i="55"/>
  <c r="H88" i="55"/>
  <c r="G31" i="55"/>
  <c r="G88" i="55"/>
  <c r="J237" i="53"/>
  <c r="J170" i="53"/>
  <c r="I257" i="55"/>
  <c r="G144" i="55"/>
  <c r="I203" i="55"/>
  <c r="J258" i="55"/>
  <c r="H145" i="55"/>
  <c r="H26" i="55"/>
  <c r="H83" i="55"/>
  <c r="G26" i="55"/>
  <c r="G83" i="55"/>
  <c r="I207" i="53"/>
  <c r="I140" i="53"/>
  <c r="H251" i="55"/>
  <c r="F138" i="55"/>
  <c r="H196" i="55"/>
  <c r="G22" i="55"/>
  <c r="G79" i="55"/>
  <c r="H22" i="55"/>
  <c r="H79" i="55"/>
  <c r="E50" i="61"/>
  <c r="B23" i="21"/>
  <c r="I118" i="53"/>
  <c r="I276" i="55"/>
  <c r="G166" i="55"/>
  <c r="I225" i="55"/>
  <c r="G128" i="55"/>
  <c r="I186" i="55"/>
  <c r="I241" i="55"/>
  <c r="J213" i="53"/>
  <c r="J146" i="53"/>
  <c r="I278" i="55"/>
  <c r="G168" i="55"/>
  <c r="I227" i="55"/>
  <c r="H50" i="55"/>
  <c r="H107" i="55"/>
  <c r="G50" i="55"/>
  <c r="G107" i="55"/>
  <c r="G68" i="55"/>
  <c r="H127" i="55"/>
  <c r="J240" i="55"/>
  <c r="I235" i="53"/>
  <c r="I168" i="53"/>
  <c r="H270" i="55"/>
  <c r="F157" i="55"/>
  <c r="H216" i="55"/>
  <c r="J232" i="53"/>
  <c r="J165" i="53"/>
  <c r="I236" i="53"/>
  <c r="I169" i="53"/>
  <c r="J277" i="55"/>
  <c r="H167" i="55"/>
  <c r="I116" i="53"/>
  <c r="J173" i="53"/>
  <c r="C32" i="29"/>
  <c r="I234" i="53"/>
  <c r="I167" i="53"/>
  <c r="I233" i="53"/>
  <c r="I166" i="53"/>
  <c r="J174" i="53"/>
  <c r="H20" i="55"/>
  <c r="H77" i="55"/>
  <c r="G20" i="55"/>
  <c r="G77" i="55"/>
  <c r="J210" i="53"/>
  <c r="J143" i="53"/>
  <c r="I236" i="55"/>
  <c r="G123" i="55"/>
  <c r="I181" i="55"/>
  <c r="I213" i="53"/>
  <c r="I146" i="53"/>
  <c r="E10" i="55"/>
  <c r="E65" i="55"/>
  <c r="G200" i="55"/>
  <c r="H21" i="55"/>
  <c r="H78" i="55"/>
  <c r="G21" i="55"/>
  <c r="G78" i="55"/>
  <c r="J238" i="53"/>
  <c r="J171" i="53"/>
  <c r="F132" i="55"/>
  <c r="H190" i="55"/>
  <c r="H245" i="55"/>
  <c r="H272" i="55"/>
  <c r="F159" i="55"/>
  <c r="H218" i="55"/>
  <c r="J237" i="55"/>
  <c r="H124" i="55"/>
  <c r="J182" i="55"/>
  <c r="J209" i="53"/>
  <c r="J142" i="53"/>
  <c r="H119" i="53"/>
  <c r="H118" i="53"/>
  <c r="H250" i="53"/>
  <c r="H187" i="53"/>
  <c r="H45" i="55"/>
  <c r="H102" i="55"/>
  <c r="G45" i="55"/>
  <c r="G102" i="55"/>
  <c r="I240" i="55"/>
  <c r="G127" i="55"/>
  <c r="I185" i="55"/>
  <c r="H247" i="55"/>
  <c r="F134" i="55"/>
  <c r="H192" i="55"/>
  <c r="J235" i="53"/>
  <c r="J168" i="53"/>
  <c r="I275" i="55"/>
  <c r="G165" i="55"/>
  <c r="I224" i="55"/>
  <c r="E290" i="55"/>
  <c r="G51" i="55"/>
  <c r="G108" i="55"/>
  <c r="H51" i="55"/>
  <c r="H108" i="55"/>
  <c r="F136" i="55"/>
  <c r="H194" i="55"/>
  <c r="H249" i="55"/>
  <c r="I260" i="55"/>
  <c r="G147" i="55"/>
  <c r="I206" i="55"/>
  <c r="I206" i="53"/>
  <c r="I139" i="53"/>
  <c r="F140" i="55"/>
  <c r="H198" i="55"/>
  <c r="H253" i="55"/>
  <c r="H268" i="55"/>
  <c r="F155" i="55"/>
  <c r="H214" i="55"/>
  <c r="I232" i="53"/>
  <c r="I165" i="53"/>
  <c r="I230" i="53"/>
  <c r="I163" i="53"/>
  <c r="J207" i="53"/>
  <c r="J140" i="53"/>
  <c r="H29" i="55"/>
  <c r="H86" i="55"/>
  <c r="G29" i="55"/>
  <c r="G86" i="55"/>
  <c r="I216" i="53"/>
  <c r="I149" i="53"/>
  <c r="J257" i="55"/>
  <c r="H144" i="55"/>
  <c r="D153" i="29"/>
  <c r="D123" i="29"/>
  <c r="D138" i="29"/>
  <c r="D168" i="29"/>
  <c r="G8" i="61"/>
  <c r="F57" i="22"/>
  <c r="E14" i="69"/>
  <c r="E16" i="69"/>
  <c r="F38" i="22"/>
  <c r="I37" i="22"/>
  <c r="I59" i="22"/>
  <c r="H59" i="22"/>
  <c r="F50" i="61"/>
  <c r="E36" i="29"/>
  <c r="J203" i="55"/>
  <c r="F274" i="53"/>
  <c r="F276" i="53"/>
  <c r="J205" i="55"/>
  <c r="J226" i="55"/>
  <c r="J204" i="55"/>
  <c r="F36" i="29"/>
  <c r="H259" i="53"/>
  <c r="J253" i="53"/>
  <c r="H191" i="53"/>
  <c r="G37" i="61"/>
  <c r="D9" i="21"/>
  <c r="G129" i="55"/>
  <c r="I187" i="55"/>
  <c r="I242" i="55"/>
  <c r="H131" i="55"/>
  <c r="J244" i="55"/>
  <c r="I266" i="55"/>
  <c r="G153" i="55"/>
  <c r="I212" i="55"/>
  <c r="G137" i="55"/>
  <c r="I195" i="55"/>
  <c r="I250" i="55"/>
  <c r="G133" i="55"/>
  <c r="I191" i="55"/>
  <c r="I246" i="55"/>
  <c r="I271" i="55"/>
  <c r="G158" i="55"/>
  <c r="I217" i="55"/>
  <c r="D32" i="29"/>
  <c r="D12" i="23"/>
  <c r="F12" i="23"/>
  <c r="D33" i="29"/>
  <c r="I268" i="55"/>
  <c r="G155" i="55"/>
  <c r="I214" i="55"/>
  <c r="I273" i="55"/>
  <c r="G160" i="55"/>
  <c r="I219" i="55"/>
  <c r="I250" i="53"/>
  <c r="I187" i="53"/>
  <c r="I243" i="55"/>
  <c r="G130" i="55"/>
  <c r="I188" i="55"/>
  <c r="J242" i="55"/>
  <c r="H129" i="55"/>
  <c r="J187" i="55"/>
  <c r="I272" i="55"/>
  <c r="G159" i="55"/>
  <c r="I218" i="55"/>
  <c r="I244" i="55"/>
  <c r="G131" i="55"/>
  <c r="I189" i="55"/>
  <c r="N29" i="22"/>
  <c r="M60" i="22"/>
  <c r="J266" i="55"/>
  <c r="H153" i="55"/>
  <c r="I269" i="55"/>
  <c r="G156" i="55"/>
  <c r="I215" i="55"/>
  <c r="J250" i="55"/>
  <c r="H137" i="55"/>
  <c r="J246" i="55"/>
  <c r="H133" i="55"/>
  <c r="J191" i="55"/>
  <c r="J208" i="55"/>
  <c r="I270" i="55"/>
  <c r="G157" i="55"/>
  <c r="I216" i="55"/>
  <c r="J271" i="55"/>
  <c r="H158" i="55"/>
  <c r="E289" i="55"/>
  <c r="E292" i="55"/>
  <c r="H212" i="55"/>
  <c r="J207" i="55"/>
  <c r="H33" i="55"/>
  <c r="G229" i="55"/>
  <c r="J268" i="55"/>
  <c r="H155" i="55"/>
  <c r="J224" i="55"/>
  <c r="G282" i="55"/>
  <c r="G283" i="55"/>
  <c r="G33" i="55"/>
  <c r="O36" i="22"/>
  <c r="O37" i="22"/>
  <c r="F290" i="55"/>
  <c r="C23" i="21"/>
  <c r="I251" i="55"/>
  <c r="G138" i="55"/>
  <c r="I196" i="55"/>
  <c r="F289" i="55"/>
  <c r="I267" i="55"/>
  <c r="G154" i="55"/>
  <c r="I213" i="55"/>
  <c r="I251" i="53"/>
  <c r="I188" i="53"/>
  <c r="H130" i="55"/>
  <c r="J243" i="55"/>
  <c r="J272" i="55"/>
  <c r="H159" i="55"/>
  <c r="I248" i="55"/>
  <c r="G135" i="55"/>
  <c r="I193" i="55"/>
  <c r="G140" i="55"/>
  <c r="I198" i="55"/>
  <c r="I253" i="55"/>
  <c r="G136" i="55"/>
  <c r="I194" i="55"/>
  <c r="I249" i="55"/>
  <c r="J180" i="55"/>
  <c r="I274" i="55"/>
  <c r="G161" i="55"/>
  <c r="I220" i="55"/>
  <c r="F10" i="55"/>
  <c r="F65" i="55"/>
  <c r="H200" i="55"/>
  <c r="H284" i="55"/>
  <c r="H285" i="55"/>
  <c r="H178" i="55"/>
  <c r="I247" i="55"/>
  <c r="G134" i="55"/>
  <c r="I192" i="55"/>
  <c r="G132" i="55"/>
  <c r="I190" i="55"/>
  <c r="I245" i="55"/>
  <c r="O56" i="22"/>
  <c r="P53" i="22"/>
  <c r="J245" i="53"/>
  <c r="J182" i="53"/>
  <c r="G262" i="53"/>
  <c r="G61" i="55"/>
  <c r="J270" i="55"/>
  <c r="H157" i="55"/>
  <c r="G17" i="61"/>
  <c r="D302" i="55"/>
  <c r="D305" i="55"/>
  <c r="I253" i="53"/>
  <c r="I245" i="53"/>
  <c r="I182" i="53"/>
  <c r="J233" i="55"/>
  <c r="H120" i="55"/>
  <c r="J227" i="55"/>
  <c r="J246" i="53"/>
  <c r="J183" i="53"/>
  <c r="I246" i="53"/>
  <c r="I183" i="53"/>
  <c r="J273" i="55"/>
  <c r="H160" i="55"/>
  <c r="J269" i="55"/>
  <c r="H156" i="55"/>
  <c r="H138" i="55"/>
  <c r="J196" i="55"/>
  <c r="J251" i="55"/>
  <c r="J267" i="55"/>
  <c r="H154" i="55"/>
  <c r="J247" i="53"/>
  <c r="J184" i="53"/>
  <c r="J185" i="55"/>
  <c r="G120" i="55"/>
  <c r="I233" i="55"/>
  <c r="J250" i="53"/>
  <c r="J187" i="53"/>
  <c r="H61" i="55"/>
  <c r="H135" i="55"/>
  <c r="J193" i="55"/>
  <c r="J248" i="55"/>
  <c r="J253" i="55"/>
  <c r="H140" i="55"/>
  <c r="J249" i="55"/>
  <c r="H136" i="55"/>
  <c r="J194" i="55"/>
  <c r="J183" i="55"/>
  <c r="J274" i="55"/>
  <c r="H161" i="55"/>
  <c r="J179" i="55"/>
  <c r="J251" i="53"/>
  <c r="J188" i="53"/>
  <c r="I44" i="22"/>
  <c r="J206" i="55"/>
  <c r="H134" i="55"/>
  <c r="J192" i="55"/>
  <c r="J247" i="55"/>
  <c r="H132" i="55"/>
  <c r="J245" i="55"/>
  <c r="J181" i="55"/>
  <c r="J254" i="53"/>
  <c r="J186" i="55"/>
  <c r="J225" i="55"/>
  <c r="O42" i="22"/>
  <c r="O44" i="22"/>
  <c r="I254" i="53"/>
  <c r="I247" i="53"/>
  <c r="I184" i="53"/>
  <c r="J188" i="55"/>
  <c r="E168" i="29"/>
  <c r="E153" i="29"/>
  <c r="E123" i="29"/>
  <c r="E138" i="29"/>
  <c r="H17" i="61"/>
  <c r="I8" i="61"/>
  <c r="G35" i="22"/>
  <c r="F60" i="22"/>
  <c r="J214" i="55"/>
  <c r="J216" i="55"/>
  <c r="F292" i="55"/>
  <c r="F302" i="55"/>
  <c r="F305" i="55"/>
  <c r="J220" i="55"/>
  <c r="J212" i="55"/>
  <c r="J191" i="53"/>
  <c r="G36" i="29"/>
  <c r="J260" i="53"/>
  <c r="I191" i="53"/>
  <c r="H260" i="53"/>
  <c r="H262" i="53"/>
  <c r="J213" i="55"/>
  <c r="E302" i="55"/>
  <c r="E305" i="55"/>
  <c r="H37" i="61"/>
  <c r="E9" i="21"/>
  <c r="P41" i="22"/>
  <c r="J190" i="55"/>
  <c r="J215" i="55"/>
  <c r="O38" i="22"/>
  <c r="P35" i="22"/>
  <c r="N30" i="22"/>
  <c r="N57" i="22"/>
  <c r="I259" i="53"/>
  <c r="E32" i="29"/>
  <c r="P54" i="22"/>
  <c r="P55" i="22"/>
  <c r="G10" i="55"/>
  <c r="G65" i="55"/>
  <c r="I200" i="55"/>
  <c r="H10" i="55"/>
  <c r="H65" i="55"/>
  <c r="J200" i="55"/>
  <c r="J195" i="55"/>
  <c r="E12" i="23"/>
  <c r="G12" i="23"/>
  <c r="J189" i="55"/>
  <c r="E33" i="29"/>
  <c r="O43" i="22"/>
  <c r="J198" i="55"/>
  <c r="I284" i="55"/>
  <c r="I285" i="55"/>
  <c r="I178" i="55"/>
  <c r="I229" i="55"/>
  <c r="J219" i="55"/>
  <c r="J285" i="55"/>
  <c r="J178" i="55"/>
  <c r="J284" i="55"/>
  <c r="H8" i="61"/>
  <c r="G274" i="53"/>
  <c r="G276" i="53"/>
  <c r="H229" i="55"/>
  <c r="H282" i="55"/>
  <c r="H283" i="55"/>
  <c r="J218" i="55"/>
  <c r="G289" i="55"/>
  <c r="J217" i="55"/>
  <c r="F168" i="29"/>
  <c r="F153" i="29"/>
  <c r="F123" i="29"/>
  <c r="F138" i="29"/>
  <c r="G57" i="22"/>
  <c r="F14" i="69"/>
  <c r="F16" i="69"/>
  <c r="G38" i="22"/>
  <c r="I17" i="61"/>
  <c r="J8" i="61"/>
  <c r="P56" i="22"/>
  <c r="Q53" i="22"/>
  <c r="Q54" i="22"/>
  <c r="I260" i="53"/>
  <c r="I262" i="53"/>
  <c r="P42" i="22"/>
  <c r="P44" i="22"/>
  <c r="F33" i="29"/>
  <c r="G50" i="61"/>
  <c r="D23" i="21"/>
  <c r="F32" i="29"/>
  <c r="P36" i="22"/>
  <c r="P37" i="22"/>
  <c r="H36" i="29"/>
  <c r="C13" i="23"/>
  <c r="J17" i="61"/>
  <c r="H274" i="53"/>
  <c r="H276" i="53"/>
  <c r="H290" i="55"/>
  <c r="J282" i="55"/>
  <c r="J283" i="55"/>
  <c r="N58" i="22"/>
  <c r="E89" i="22"/>
  <c r="N31" i="22"/>
  <c r="G290" i="55"/>
  <c r="G292" i="55"/>
  <c r="J229" i="55"/>
  <c r="I37" i="61"/>
  <c r="F9" i="21"/>
  <c r="I282" i="55"/>
  <c r="I283" i="55"/>
  <c r="N32" i="22"/>
  <c r="J259" i="53"/>
  <c r="J262" i="53"/>
  <c r="G123" i="29"/>
  <c r="G138" i="29"/>
  <c r="G168" i="29"/>
  <c r="G153" i="29"/>
  <c r="H35" i="22"/>
  <c r="G60" i="22"/>
  <c r="P43" i="22"/>
  <c r="Q55" i="22"/>
  <c r="Q56" i="22"/>
  <c r="I274" i="53"/>
  <c r="I276" i="53"/>
  <c r="I36" i="29"/>
  <c r="K8" i="61"/>
  <c r="O29" i="22"/>
  <c r="N60" i="22"/>
  <c r="H9" i="21"/>
  <c r="K37" i="61"/>
  <c r="G302" i="55"/>
  <c r="G305" i="55"/>
  <c r="I289" i="55"/>
  <c r="G32" i="29"/>
  <c r="K17" i="61"/>
  <c r="G9" i="21"/>
  <c r="J37" i="61"/>
  <c r="H289" i="55"/>
  <c r="H292" i="55"/>
  <c r="Q41" i="22"/>
  <c r="H32" i="29"/>
  <c r="J274" i="53"/>
  <c r="J276" i="53"/>
  <c r="I290" i="55"/>
  <c r="G33" i="29"/>
  <c r="N59" i="22"/>
  <c r="J290" i="55"/>
  <c r="D13" i="23"/>
  <c r="F13" i="23"/>
  <c r="P38" i="22"/>
  <c r="Q35" i="22"/>
  <c r="E23" i="21"/>
  <c r="I168" i="29"/>
  <c r="I153" i="29"/>
  <c r="I123" i="29"/>
  <c r="I138" i="29"/>
  <c r="H153" i="29"/>
  <c r="H123" i="29"/>
  <c r="H138" i="29"/>
  <c r="H168" i="29"/>
  <c r="H50" i="61"/>
  <c r="H57" i="22"/>
  <c r="G14" i="69"/>
  <c r="G16" i="69"/>
  <c r="H38" i="22"/>
  <c r="J50" i="61"/>
  <c r="I292" i="55"/>
  <c r="H302" i="55"/>
  <c r="H305" i="55"/>
  <c r="Q42" i="22"/>
  <c r="Q44" i="22"/>
  <c r="I33" i="29"/>
  <c r="H33" i="29"/>
  <c r="E13" i="23"/>
  <c r="G13" i="23"/>
  <c r="I32" i="29"/>
  <c r="F23" i="21"/>
  <c r="I50" i="61"/>
  <c r="O30" i="22"/>
  <c r="O32" i="22"/>
  <c r="O57" i="22"/>
  <c r="Q36" i="22"/>
  <c r="Q37" i="22"/>
  <c r="J289" i="55"/>
  <c r="J292" i="55"/>
  <c r="H60" i="22"/>
  <c r="I35" i="22"/>
  <c r="G23" i="21"/>
  <c r="H23" i="21"/>
  <c r="I302" i="55"/>
  <c r="I305" i="55"/>
  <c r="J302" i="55"/>
  <c r="J305" i="55"/>
  <c r="O58" i="22"/>
  <c r="F89" i="22"/>
  <c r="O31" i="22"/>
  <c r="C14" i="23"/>
  <c r="Q38" i="22"/>
  <c r="P29" i="22"/>
  <c r="O60" i="22"/>
  <c r="Q43" i="22"/>
  <c r="K50" i="61"/>
  <c r="I57" i="22"/>
  <c r="H14" i="69"/>
  <c r="H16" i="69"/>
  <c r="I38" i="22"/>
  <c r="I60" i="22"/>
  <c r="D14" i="23"/>
  <c r="F14" i="23"/>
  <c r="P30" i="22"/>
  <c r="P58" i="22"/>
  <c r="G89" i="22"/>
  <c r="P57" i="22"/>
  <c r="O59" i="22"/>
  <c r="P31" i="22"/>
  <c r="P59" i="22"/>
  <c r="E14" i="23"/>
  <c r="G14" i="23"/>
  <c r="P32" i="22"/>
  <c r="Q29" i="22"/>
  <c r="P60" i="22"/>
  <c r="C15" i="23"/>
  <c r="D15" i="23"/>
  <c r="Q30" i="22"/>
  <c r="Q57" i="22"/>
  <c r="F15" i="23"/>
  <c r="E15" i="23"/>
  <c r="G15" i="23"/>
  <c r="C16" i="23"/>
  <c r="D16" i="23"/>
  <c r="E16" i="23"/>
  <c r="G16" i="23"/>
  <c r="C17" i="23"/>
  <c r="Q58" i="22"/>
  <c r="H89" i="22"/>
  <c r="Q31" i="22"/>
  <c r="Q59" i="22"/>
  <c r="Q32" i="22"/>
  <c r="Q60" i="22"/>
  <c r="D17" i="23"/>
  <c r="E17" i="23"/>
  <c r="G17" i="23"/>
  <c r="C18" i="23"/>
  <c r="D18" i="23"/>
  <c r="E18" i="23"/>
  <c r="G18" i="23"/>
  <c r="C19" i="23"/>
  <c r="D19" i="23"/>
  <c r="E19" i="23"/>
  <c r="G19" i="23"/>
  <c r="C20" i="23"/>
  <c r="D20" i="23"/>
  <c r="E20" i="23"/>
  <c r="G20" i="23"/>
  <c r="C21" i="23"/>
  <c r="D21" i="23"/>
  <c r="B51" i="21"/>
  <c r="E21" i="23"/>
  <c r="C28" i="68"/>
  <c r="C109" i="29"/>
  <c r="C27" i="68"/>
  <c r="G21" i="23"/>
  <c r="B29" i="69"/>
  <c r="K29" i="69"/>
  <c r="C22" i="23"/>
  <c r="C112" i="29"/>
  <c r="D22" i="23"/>
  <c r="E22" i="23"/>
  <c r="G22" i="23"/>
  <c r="C23" i="23"/>
  <c r="D23" i="23"/>
  <c r="E23" i="23"/>
  <c r="G23" i="23"/>
  <c r="C24" i="23"/>
  <c r="D24" i="23"/>
  <c r="E24" i="23"/>
  <c r="G24" i="23"/>
  <c r="C25" i="23"/>
  <c r="D25" i="23"/>
  <c r="E25" i="23"/>
  <c r="G25" i="23"/>
  <c r="C26" i="23"/>
  <c r="D26" i="23"/>
  <c r="E26" i="23"/>
  <c r="G26" i="23"/>
  <c r="C27" i="23"/>
  <c r="D27" i="23"/>
  <c r="E27" i="23"/>
  <c r="G27" i="23"/>
  <c r="C28" i="23"/>
  <c r="D28" i="23"/>
  <c r="E28" i="23"/>
  <c r="G28" i="23"/>
  <c r="C29" i="23"/>
  <c r="D29" i="23"/>
  <c r="E29" i="23"/>
  <c r="G29" i="23"/>
  <c r="C30" i="23"/>
  <c r="D30" i="23"/>
  <c r="E30" i="23"/>
  <c r="G30" i="23"/>
  <c r="C31" i="23"/>
  <c r="D31" i="23"/>
  <c r="E31" i="23"/>
  <c r="G31" i="23"/>
  <c r="C32" i="23"/>
  <c r="D32" i="23"/>
  <c r="E32" i="23"/>
  <c r="G32" i="23"/>
  <c r="C33" i="23"/>
  <c r="D33" i="23"/>
  <c r="C51" i="21"/>
  <c r="E33" i="23"/>
  <c r="D28" i="68"/>
  <c r="D109" i="29"/>
  <c r="D27" i="68"/>
  <c r="G33" i="23"/>
  <c r="C34" i="23"/>
  <c r="C29" i="69"/>
  <c r="D112" i="29"/>
  <c r="D34" i="23"/>
  <c r="E34" i="23"/>
  <c r="G34" i="23"/>
  <c r="C35" i="23"/>
  <c r="D35" i="23"/>
  <c r="E35" i="23"/>
  <c r="G35" i="23"/>
  <c r="C36" i="23"/>
  <c r="D36" i="23"/>
  <c r="E36" i="23"/>
  <c r="G36" i="23"/>
  <c r="C37" i="23"/>
  <c r="D37" i="23"/>
  <c r="E37" i="23"/>
  <c r="G37" i="23"/>
  <c r="C38" i="23"/>
  <c r="D38" i="23"/>
  <c r="E38" i="23"/>
  <c r="G38" i="23"/>
  <c r="C39" i="23"/>
  <c r="D39" i="23"/>
  <c r="E39" i="23"/>
  <c r="G39" i="23"/>
  <c r="C40" i="23"/>
  <c r="D40" i="23"/>
  <c r="E40" i="23"/>
  <c r="G40" i="23"/>
  <c r="C41" i="23"/>
  <c r="D41" i="23"/>
  <c r="E41" i="23"/>
  <c r="G41" i="23"/>
  <c r="C42" i="23"/>
  <c r="D42" i="23"/>
  <c r="E42" i="23"/>
  <c r="G42" i="23"/>
  <c r="C43" i="23"/>
  <c r="D43" i="23"/>
  <c r="E43" i="23"/>
  <c r="G43" i="23"/>
  <c r="C44" i="23"/>
  <c r="D44" i="23"/>
  <c r="E44" i="23"/>
  <c r="G44" i="23"/>
  <c r="C45" i="23"/>
  <c r="D45" i="23"/>
  <c r="D51" i="21"/>
  <c r="E45" i="23"/>
  <c r="E28" i="68"/>
  <c r="E109" i="29"/>
  <c r="E27" i="68"/>
  <c r="G45" i="23"/>
  <c r="E112" i="29"/>
  <c r="C46" i="23"/>
  <c r="D29" i="69"/>
  <c r="D46" i="23"/>
  <c r="E46" i="23"/>
  <c r="G46" i="23"/>
  <c r="C47" i="23"/>
  <c r="D47" i="23"/>
  <c r="E47" i="23"/>
  <c r="G47" i="23"/>
  <c r="C48" i="23"/>
  <c r="D48" i="23"/>
  <c r="E48" i="23"/>
  <c r="G48" i="23"/>
  <c r="C49" i="23"/>
  <c r="D49" i="23"/>
  <c r="E49" i="23"/>
  <c r="G49" i="23"/>
  <c r="C50" i="23"/>
  <c r="D50" i="23"/>
  <c r="E50" i="23"/>
  <c r="G50" i="23"/>
  <c r="C51" i="23"/>
  <c r="D51" i="23"/>
  <c r="E51" i="23"/>
  <c r="G51" i="23"/>
  <c r="C52" i="23"/>
  <c r="D52" i="23"/>
  <c r="E52" i="23"/>
  <c r="G52" i="23"/>
  <c r="C53" i="23"/>
  <c r="D53" i="23"/>
  <c r="E53" i="23"/>
  <c r="G53" i="23"/>
  <c r="C54" i="23"/>
  <c r="D54" i="23"/>
  <c r="E54" i="23"/>
  <c r="G54" i="23"/>
  <c r="C55" i="23"/>
  <c r="D55" i="23"/>
  <c r="E55" i="23"/>
  <c r="G55" i="23"/>
  <c r="C56" i="23"/>
  <c r="D56" i="23"/>
  <c r="E56" i="23"/>
  <c r="G56" i="23"/>
  <c r="C57" i="23"/>
  <c r="D57" i="23"/>
  <c r="E51" i="21"/>
  <c r="E57" i="23"/>
  <c r="F28" i="68"/>
  <c r="F109" i="29"/>
  <c r="F27" i="68"/>
  <c r="G57" i="23"/>
  <c r="E29" i="69"/>
  <c r="F112" i="29"/>
  <c r="F51" i="21"/>
  <c r="G28" i="68"/>
  <c r="G109" i="29"/>
  <c r="G27" i="68"/>
  <c r="G112" i="29"/>
  <c r="F29" i="69"/>
  <c r="G51" i="21"/>
  <c r="H28" i="68"/>
  <c r="H109" i="29"/>
  <c r="H27" i="68"/>
  <c r="H112" i="29"/>
  <c r="G29" i="69"/>
  <c r="H51" i="21"/>
  <c r="D94" i="23"/>
  <c r="I28" i="68"/>
  <c r="I109" i="29"/>
  <c r="E94" i="23"/>
  <c r="I27" i="68"/>
  <c r="I112" i="29"/>
  <c r="H499" i="84"/>
  <c r="H500" i="84"/>
  <c r="E499" i="84"/>
  <c r="E500" i="84"/>
  <c r="G499" i="84"/>
  <c r="G500" i="84"/>
  <c r="F499" i="84"/>
  <c r="F500" i="84"/>
  <c r="D499" i="84"/>
  <c r="D500" i="84"/>
  <c r="C499" i="84"/>
  <c r="C500" i="84"/>
  <c r="D625" i="84"/>
  <c r="C502" i="84"/>
  <c r="C504" i="84"/>
  <c r="C15" i="21"/>
  <c r="G502" i="84"/>
  <c r="G504" i="84"/>
  <c r="G15" i="21"/>
  <c r="E502" i="84"/>
  <c r="E504" i="84"/>
  <c r="E15" i="21"/>
  <c r="D502" i="84"/>
  <c r="D504" i="84"/>
  <c r="D15" i="21"/>
  <c r="H502" i="84"/>
  <c r="H504" i="84"/>
  <c r="H15" i="21"/>
  <c r="F502" i="84"/>
  <c r="F504" i="84"/>
  <c r="F15" i="21"/>
  <c r="B499" i="84"/>
  <c r="B500" i="84"/>
  <c r="D644" i="84"/>
  <c r="D652" i="84"/>
  <c r="K652" i="84"/>
  <c r="D668" i="84"/>
  <c r="D675" i="84"/>
  <c r="D630" i="84"/>
  <c r="D634" i="84"/>
  <c r="B502" i="84"/>
  <c r="B504" i="84"/>
  <c r="B15" i="21"/>
  <c r="D661" i="84"/>
  <c r="D647" i="84"/>
  <c r="D102" i="84"/>
  <c r="D385" i="84"/>
  <c r="C381" i="84"/>
  <c r="D379" i="84"/>
  <c r="D367" i="84"/>
  <c r="D682" i="84"/>
  <c r="D670" i="84"/>
  <c r="D681" i="84"/>
  <c r="D683" i="84"/>
  <c r="D659" i="84"/>
  <c r="D373" i="84"/>
  <c r="D376" i="84"/>
  <c r="D411" i="84"/>
  <c r="D382" i="84"/>
  <c r="D412" i="84"/>
  <c r="D370" i="84"/>
  <c r="D410" i="84"/>
  <c r="D388" i="84"/>
  <c r="D413" i="84"/>
  <c r="D660" i="84"/>
  <c r="D658" i="84"/>
  <c r="E102" i="84"/>
  <c r="F52" i="61"/>
  <c r="D662" i="84"/>
  <c r="D98" i="84"/>
  <c r="B13" i="21"/>
  <c r="E385" i="84"/>
  <c r="E388" i="84"/>
  <c r="E413" i="84"/>
  <c r="E379" i="84"/>
  <c r="E382" i="84"/>
  <c r="E412" i="84"/>
  <c r="E367" i="84"/>
  <c r="E370" i="84"/>
  <c r="E410" i="84"/>
  <c r="D408" i="84"/>
  <c r="D479" i="84"/>
  <c r="E373" i="84"/>
  <c r="E376" i="84"/>
  <c r="E411" i="84"/>
  <c r="D381" i="84"/>
  <c r="D369" i="84"/>
  <c r="D192" i="84"/>
  <c r="D194" i="84"/>
  <c r="D387" i="84"/>
  <c r="D204" i="84"/>
  <c r="D206" i="84"/>
  <c r="D375" i="84"/>
  <c r="D196" i="84"/>
  <c r="D198" i="84"/>
  <c r="E52" i="61"/>
  <c r="D109" i="84"/>
  <c r="C127" i="29"/>
  <c r="C172" i="29"/>
  <c r="C142" i="29"/>
  <c r="C157" i="29"/>
  <c r="D190" i="84"/>
  <c r="D237" i="84"/>
  <c r="E82" i="84"/>
  <c r="C13" i="21"/>
  <c r="D157" i="29"/>
  <c r="F379" i="84"/>
  <c r="F382" i="84"/>
  <c r="F412" i="84"/>
  <c r="F385" i="84"/>
  <c r="F388" i="84"/>
  <c r="F413" i="84"/>
  <c r="F373" i="84"/>
  <c r="F376" i="84"/>
  <c r="F411" i="84"/>
  <c r="B18" i="21"/>
  <c r="D89" i="84"/>
  <c r="F367" i="84"/>
  <c r="F370" i="84"/>
  <c r="F410" i="84"/>
  <c r="E88" i="84"/>
  <c r="C17" i="21"/>
  <c r="D409" i="84"/>
  <c r="E369" i="84"/>
  <c r="E192" i="84"/>
  <c r="E194" i="84"/>
  <c r="E387" i="84"/>
  <c r="E204" i="84"/>
  <c r="E206" i="84"/>
  <c r="E375" i="84"/>
  <c r="E196" i="84"/>
  <c r="E198" i="84"/>
  <c r="E381" i="84"/>
  <c r="F102" i="84"/>
  <c r="G52" i="61"/>
  <c r="E109" i="84"/>
  <c r="C27" i="21"/>
  <c r="C29" i="21"/>
  <c r="E54" i="61"/>
  <c r="B26" i="69"/>
  <c r="B27" i="21"/>
  <c r="B29" i="21"/>
  <c r="D119" i="84"/>
  <c r="D142" i="29"/>
  <c r="D172" i="29"/>
  <c r="E190" i="84"/>
  <c r="E237" i="84"/>
  <c r="F82" i="84"/>
  <c r="D13" i="21"/>
  <c r="D127" i="29"/>
  <c r="E409" i="84"/>
  <c r="E480" i="84"/>
  <c r="G385" i="84"/>
  <c r="G388" i="84"/>
  <c r="G413" i="84"/>
  <c r="G379" i="84"/>
  <c r="C143" i="29"/>
  <c r="C144" i="29"/>
  <c r="C158" i="29"/>
  <c r="C159" i="29"/>
  <c r="C128" i="29"/>
  <c r="C129" i="29"/>
  <c r="B19" i="21"/>
  <c r="C6" i="68"/>
  <c r="C173" i="29"/>
  <c r="C174" i="29"/>
  <c r="G373" i="84"/>
  <c r="G376" i="84"/>
  <c r="G411" i="84"/>
  <c r="F9" i="61"/>
  <c r="F12" i="61"/>
  <c r="D480" i="84"/>
  <c r="E408" i="84"/>
  <c r="E479" i="84"/>
  <c r="G367" i="84"/>
  <c r="G370" i="84"/>
  <c r="G410" i="84"/>
  <c r="F381" i="84"/>
  <c r="F387" i="84"/>
  <c r="F204" i="84"/>
  <c r="F206" i="84"/>
  <c r="F369" i="84"/>
  <c r="F192" i="84"/>
  <c r="F194" i="84"/>
  <c r="F375" i="84"/>
  <c r="F196" i="84"/>
  <c r="F198" i="84"/>
  <c r="G382" i="84"/>
  <c r="G412" i="84"/>
  <c r="D177" i="29"/>
  <c r="D178" i="29"/>
  <c r="D162" i="29"/>
  <c r="D163" i="29"/>
  <c r="D132" i="29"/>
  <c r="D133" i="29"/>
  <c r="D147" i="29"/>
  <c r="D148" i="29"/>
  <c r="C42" i="21"/>
  <c r="D24" i="68"/>
  <c r="F54" i="61"/>
  <c r="E119" i="84"/>
  <c r="C12" i="68"/>
  <c r="K26" i="69"/>
  <c r="C132" i="29"/>
  <c r="C133" i="29"/>
  <c r="C134" i="29"/>
  <c r="C177" i="29"/>
  <c r="C178" i="29"/>
  <c r="C179" i="29"/>
  <c r="C24" i="68"/>
  <c r="K24" i="68"/>
  <c r="C162" i="29"/>
  <c r="C163" i="29"/>
  <c r="C164" i="29"/>
  <c r="B42" i="21"/>
  <c r="B44" i="21"/>
  <c r="C147" i="29"/>
  <c r="C148" i="29"/>
  <c r="C149" i="29"/>
  <c r="F190" i="84"/>
  <c r="F408" i="84"/>
  <c r="F479" i="84"/>
  <c r="E17" i="21"/>
  <c r="F409" i="84"/>
  <c r="H367" i="84"/>
  <c r="H370" i="84"/>
  <c r="H410" i="84"/>
  <c r="H379" i="84"/>
  <c r="H382" i="84"/>
  <c r="H412" i="84"/>
  <c r="F88" i="84"/>
  <c r="D17" i="21"/>
  <c r="H385" i="84"/>
  <c r="H388" i="84"/>
  <c r="H413" i="84"/>
  <c r="F18" i="61"/>
  <c r="E89" i="84"/>
  <c r="C18" i="21"/>
  <c r="H373" i="84"/>
  <c r="H376" i="84"/>
  <c r="H411" i="84"/>
  <c r="G381" i="84"/>
  <c r="G375" i="84"/>
  <c r="G196" i="84"/>
  <c r="G198" i="84"/>
  <c r="G387" i="84"/>
  <c r="G204" i="84"/>
  <c r="G206" i="84"/>
  <c r="G369" i="84"/>
  <c r="G192" i="84"/>
  <c r="G194" i="84"/>
  <c r="E127" i="29"/>
  <c r="E157" i="29"/>
  <c r="E172" i="29"/>
  <c r="E142" i="29"/>
  <c r="G18" i="61"/>
  <c r="D18" i="21"/>
  <c r="C26" i="69"/>
  <c r="D12" i="68"/>
  <c r="F109" i="84"/>
  <c r="G54" i="61"/>
  <c r="F89" i="84"/>
  <c r="G190" i="84"/>
  <c r="G88" i="84"/>
  <c r="B49" i="21"/>
  <c r="I385" i="84"/>
  <c r="I388" i="84"/>
  <c r="I413" i="84"/>
  <c r="I379" i="84"/>
  <c r="I382" i="84"/>
  <c r="I412" i="84"/>
  <c r="I367" i="84"/>
  <c r="I370" i="84"/>
  <c r="I410" i="84"/>
  <c r="C19" i="21"/>
  <c r="D143" i="29"/>
  <c r="D144" i="29"/>
  <c r="D149" i="29"/>
  <c r="D158" i="29"/>
  <c r="D159" i="29"/>
  <c r="D164" i="29"/>
  <c r="D173" i="29"/>
  <c r="D174" i="29"/>
  <c r="D179" i="29"/>
  <c r="D128" i="29"/>
  <c r="D129" i="29"/>
  <c r="D134" i="29"/>
  <c r="G409" i="84"/>
  <c r="I373" i="84"/>
  <c r="I376" i="84"/>
  <c r="I411" i="84"/>
  <c r="G9" i="61"/>
  <c r="G12" i="61"/>
  <c r="F21" i="61"/>
  <c r="F42" i="61"/>
  <c r="C11" i="69"/>
  <c r="H375" i="84"/>
  <c r="H196" i="84"/>
  <c r="H198" i="84"/>
  <c r="H369" i="84"/>
  <c r="H192" i="84"/>
  <c r="H194" i="84"/>
  <c r="H381" i="84"/>
  <c r="H387" i="84"/>
  <c r="H204" i="84"/>
  <c r="H206" i="84"/>
  <c r="E128" i="29"/>
  <c r="E129" i="29"/>
  <c r="E143" i="29"/>
  <c r="E144" i="29"/>
  <c r="E173" i="29"/>
  <c r="E174" i="29"/>
  <c r="E158" i="29"/>
  <c r="E159" i="29"/>
  <c r="D19" i="21"/>
  <c r="E6" i="68"/>
  <c r="G21" i="61"/>
  <c r="G42" i="61"/>
  <c r="H9" i="61"/>
  <c r="H12" i="61"/>
  <c r="D26" i="69"/>
  <c r="E12" i="68"/>
  <c r="G102" i="84"/>
  <c r="H52" i="61"/>
  <c r="D27" i="21"/>
  <c r="D29" i="21"/>
  <c r="F119" i="84"/>
  <c r="F480" i="84"/>
  <c r="G408" i="84"/>
  <c r="G479" i="84"/>
  <c r="H190" i="84"/>
  <c r="I369" i="84"/>
  <c r="I192" i="84"/>
  <c r="I194" i="84"/>
  <c r="I387" i="84"/>
  <c r="I204" i="84"/>
  <c r="I206" i="84"/>
  <c r="D6" i="68"/>
  <c r="L24" i="68"/>
  <c r="C44" i="21"/>
  <c r="I375" i="84"/>
  <c r="I196" i="84"/>
  <c r="I198" i="84"/>
  <c r="H409" i="84"/>
  <c r="I381" i="84"/>
  <c r="F237" i="84"/>
  <c r="G82" i="84"/>
  <c r="E13" i="21"/>
  <c r="E132" i="29"/>
  <c r="E133" i="29"/>
  <c r="E134" i="29"/>
  <c r="E147" i="29"/>
  <c r="E148" i="29"/>
  <c r="E149" i="29"/>
  <c r="E177" i="29"/>
  <c r="E178" i="29"/>
  <c r="E179" i="29"/>
  <c r="E162" i="29"/>
  <c r="E163" i="29"/>
  <c r="E164" i="29"/>
  <c r="H88" i="84"/>
  <c r="F17" i="21"/>
  <c r="D11" i="69"/>
  <c r="H18" i="61"/>
  <c r="H21" i="61"/>
  <c r="H42" i="61"/>
  <c r="E11" i="69"/>
  <c r="E18" i="21"/>
  <c r="D42" i="21"/>
  <c r="D44" i="21"/>
  <c r="E24" i="68"/>
  <c r="M24" i="68"/>
  <c r="G109" i="84"/>
  <c r="H54" i="61"/>
  <c r="E26" i="69"/>
  <c r="F12" i="68"/>
  <c r="G89" i="84"/>
  <c r="I190" i="84"/>
  <c r="C49" i="21"/>
  <c r="I409" i="84"/>
  <c r="I9" i="61"/>
  <c r="I12" i="61"/>
  <c r="F127" i="29"/>
  <c r="F172" i="29"/>
  <c r="F142" i="29"/>
  <c r="F157" i="29"/>
  <c r="F128" i="29"/>
  <c r="F143" i="29"/>
  <c r="F173" i="29"/>
  <c r="F158" i="29"/>
  <c r="E19" i="21"/>
  <c r="F6" i="68"/>
  <c r="D49" i="21"/>
  <c r="H102" i="84"/>
  <c r="I52" i="61"/>
  <c r="G119" i="84"/>
  <c r="E27" i="21"/>
  <c r="E29" i="21"/>
  <c r="G480" i="84"/>
  <c r="H408" i="84"/>
  <c r="H479" i="84"/>
  <c r="G237" i="84"/>
  <c r="H82" i="84"/>
  <c r="F13" i="21"/>
  <c r="F129" i="29"/>
  <c r="F144" i="29"/>
  <c r="F162" i="29"/>
  <c r="F163" i="29"/>
  <c r="F132" i="29"/>
  <c r="F133" i="29"/>
  <c r="F147" i="29"/>
  <c r="F148" i="29"/>
  <c r="F177" i="29"/>
  <c r="F178" i="29"/>
  <c r="F174" i="29"/>
  <c r="F159" i="29"/>
  <c r="I88" i="84"/>
  <c r="G17" i="21"/>
  <c r="I18" i="61"/>
  <c r="J9" i="61"/>
  <c r="J12" i="61"/>
  <c r="F18" i="21"/>
  <c r="F24" i="68"/>
  <c r="N24" i="68"/>
  <c r="E42" i="21"/>
  <c r="E44" i="21"/>
  <c r="I102" i="84"/>
  <c r="J52" i="61"/>
  <c r="H109" i="84"/>
  <c r="H119" i="84"/>
  <c r="H89" i="84"/>
  <c r="G172" i="29"/>
  <c r="G127" i="29"/>
  <c r="G157" i="29"/>
  <c r="G142" i="29"/>
  <c r="H237" i="84"/>
  <c r="I82" i="84"/>
  <c r="G13" i="21"/>
  <c r="F164" i="29"/>
  <c r="F134" i="29"/>
  <c r="F149" i="29"/>
  <c r="F179" i="29"/>
  <c r="F19" i="21"/>
  <c r="G6" i="68"/>
  <c r="G143" i="29"/>
  <c r="G173" i="29"/>
  <c r="G158" i="29"/>
  <c r="G128" i="29"/>
  <c r="G129" i="29"/>
  <c r="I21" i="61"/>
  <c r="I42" i="61"/>
  <c r="F11" i="69"/>
  <c r="E49" i="21"/>
  <c r="F27" i="21"/>
  <c r="F29" i="21"/>
  <c r="I54" i="61"/>
  <c r="F26" i="69"/>
  <c r="G12" i="68"/>
  <c r="I408" i="84"/>
  <c r="I479" i="84"/>
  <c r="H480" i="84"/>
  <c r="I480" i="84"/>
  <c r="G144" i="29"/>
  <c r="G174" i="29"/>
  <c r="H157" i="29"/>
  <c r="H172" i="29"/>
  <c r="H127" i="29"/>
  <c r="H142" i="29"/>
  <c r="G159" i="29"/>
  <c r="G177" i="29"/>
  <c r="G178" i="29"/>
  <c r="G162" i="29"/>
  <c r="G163" i="29"/>
  <c r="G132" i="29"/>
  <c r="G133" i="29"/>
  <c r="G134" i="29"/>
  <c r="G147" i="29"/>
  <c r="G148" i="29"/>
  <c r="J18" i="61"/>
  <c r="G18" i="21"/>
  <c r="J88" i="84"/>
  <c r="H17" i="21"/>
  <c r="K18" i="61"/>
  <c r="H18" i="21"/>
  <c r="G24" i="68"/>
  <c r="O24" i="68"/>
  <c r="F42" i="21"/>
  <c r="F44" i="21"/>
  <c r="J89" i="84"/>
  <c r="I109" i="84"/>
  <c r="J54" i="61"/>
  <c r="I89" i="84"/>
  <c r="G179" i="29"/>
  <c r="G164" i="29"/>
  <c r="G149" i="29"/>
  <c r="I128" i="29"/>
  <c r="I143" i="29"/>
  <c r="I173" i="29"/>
  <c r="I158" i="29"/>
  <c r="H173" i="29"/>
  <c r="H174" i="29"/>
  <c r="H158" i="29"/>
  <c r="H159" i="29"/>
  <c r="H128" i="29"/>
  <c r="H129" i="29"/>
  <c r="H143" i="29"/>
  <c r="H144" i="29"/>
  <c r="G19" i="21"/>
  <c r="H6" i="68"/>
  <c r="K9" i="61"/>
  <c r="K12" i="61"/>
  <c r="J21" i="61"/>
  <c r="J42" i="61"/>
  <c r="G26" i="69"/>
  <c r="H12" i="68"/>
  <c r="F49" i="21"/>
  <c r="J102" i="84"/>
  <c r="K52" i="61"/>
  <c r="G27" i="21"/>
  <c r="G29" i="21"/>
  <c r="I119" i="84"/>
  <c r="I237" i="84"/>
  <c r="J82" i="84"/>
  <c r="H13" i="21"/>
  <c r="H177" i="29"/>
  <c r="H178" i="29"/>
  <c r="H179" i="29"/>
  <c r="H162" i="29"/>
  <c r="H163" i="29"/>
  <c r="H164" i="29"/>
  <c r="H132" i="29"/>
  <c r="H133" i="29"/>
  <c r="H134" i="29"/>
  <c r="H147" i="29"/>
  <c r="H148" i="29"/>
  <c r="H149" i="29"/>
  <c r="G11" i="69"/>
  <c r="G42" i="21"/>
  <c r="G44" i="21"/>
  <c r="H24" i="68"/>
  <c r="P24" i="68"/>
  <c r="K21" i="61"/>
  <c r="K42" i="61"/>
  <c r="H11" i="69"/>
  <c r="J109" i="84"/>
  <c r="I127" i="29"/>
  <c r="I129" i="29"/>
  <c r="I157" i="29"/>
  <c r="I159" i="29"/>
  <c r="I172" i="29"/>
  <c r="I174" i="29"/>
  <c r="I142" i="29"/>
  <c r="I144" i="29"/>
  <c r="H19" i="21"/>
  <c r="I6" i="68"/>
  <c r="G49" i="21"/>
  <c r="K54" i="61"/>
  <c r="H26" i="69"/>
  <c r="I12" i="68"/>
  <c r="H27" i="21"/>
  <c r="H29" i="21"/>
  <c r="J119" i="84"/>
  <c r="I132" i="29"/>
  <c r="I133" i="29"/>
  <c r="I134" i="29"/>
  <c r="I147" i="29"/>
  <c r="I148" i="29"/>
  <c r="I149" i="29"/>
  <c r="I177" i="29"/>
  <c r="I178" i="29"/>
  <c r="I179" i="29"/>
  <c r="I162" i="29"/>
  <c r="I163" i="29"/>
  <c r="I164" i="29"/>
  <c r="H42" i="21"/>
  <c r="H44" i="21"/>
  <c r="I24" i="68"/>
  <c r="Q24" i="68"/>
  <c r="H49" i="21"/>
  <c r="D619" i="84"/>
  <c r="D621" i="84"/>
  <c r="E84" i="84"/>
  <c r="E86" i="84"/>
  <c r="F39" i="61"/>
  <c r="F40" i="61"/>
  <c r="E121" i="84"/>
  <c r="D121" i="84"/>
  <c r="E619" i="84"/>
  <c r="E621" i="84"/>
  <c r="F84" i="84"/>
  <c r="F86" i="84"/>
  <c r="E44" i="61"/>
  <c r="E55" i="61"/>
  <c r="G39" i="61"/>
  <c r="G40" i="61"/>
  <c r="F121" i="84"/>
  <c r="C9" i="69"/>
  <c r="F44" i="61"/>
  <c r="F55" i="61"/>
  <c r="F619" i="84"/>
  <c r="F621" i="84"/>
  <c r="G84" i="84"/>
  <c r="G86" i="84"/>
  <c r="C13" i="68"/>
  <c r="D13" i="68"/>
  <c r="H39" i="61"/>
  <c r="H40" i="61"/>
  <c r="G121" i="84"/>
  <c r="D9" i="69"/>
  <c r="G44" i="61"/>
  <c r="G55" i="61"/>
  <c r="F56" i="61"/>
  <c r="F57" i="61"/>
  <c r="E57" i="61"/>
  <c r="D11" i="62"/>
  <c r="E56" i="61"/>
  <c r="C11" i="68"/>
  <c r="G619" i="84"/>
  <c r="G621" i="84"/>
  <c r="H84" i="84"/>
  <c r="H86" i="84"/>
  <c r="B52" i="21"/>
  <c r="B25" i="69"/>
  <c r="G56" i="61"/>
  <c r="G57" i="61"/>
  <c r="D12" i="62"/>
  <c r="D123" i="57"/>
  <c r="D124" i="57"/>
  <c r="E13" i="68"/>
  <c r="I39" i="61"/>
  <c r="I40" i="61"/>
  <c r="H121" i="84"/>
  <c r="C25" i="69"/>
  <c r="C52" i="21"/>
  <c r="E9" i="69"/>
  <c r="F13" i="68"/>
  <c r="H44" i="61"/>
  <c r="H55" i="61"/>
  <c r="H619" i="84"/>
  <c r="H621" i="84"/>
  <c r="I84" i="84"/>
  <c r="I86" i="84"/>
  <c r="B28" i="69"/>
  <c r="K25" i="69"/>
  <c r="D30" i="68"/>
  <c r="D41" i="29"/>
  <c r="C54" i="21"/>
  <c r="J39" i="61"/>
  <c r="J40" i="61"/>
  <c r="I121" i="84"/>
  <c r="D52" i="21"/>
  <c r="D25" i="69"/>
  <c r="H56" i="61"/>
  <c r="H57" i="61"/>
  <c r="C28" i="69"/>
  <c r="C32" i="69"/>
  <c r="D11" i="68"/>
  <c r="I44" i="61"/>
  <c r="I55" i="61"/>
  <c r="F9" i="69"/>
  <c r="G13" i="68"/>
  <c r="D22" i="29"/>
  <c r="I12" i="62"/>
  <c r="E21" i="62"/>
  <c r="C80" i="29"/>
  <c r="C68" i="29"/>
  <c r="C91" i="29"/>
  <c r="C15" i="29"/>
  <c r="B54" i="21"/>
  <c r="C30" i="68"/>
  <c r="C41" i="29"/>
  <c r="I619" i="84"/>
  <c r="I621" i="84"/>
  <c r="J84" i="84"/>
  <c r="J86" i="84"/>
  <c r="B32" i="69"/>
  <c r="K32" i="69"/>
  <c r="K28" i="69"/>
  <c r="E52" i="21"/>
  <c r="E25" i="69"/>
  <c r="G9" i="69"/>
  <c r="J44" i="61"/>
  <c r="J55" i="61"/>
  <c r="D28" i="69"/>
  <c r="D32" i="69"/>
  <c r="E11" i="68"/>
  <c r="C87" i="22"/>
  <c r="C90" i="22"/>
  <c r="C91" i="22"/>
  <c r="B87" i="22"/>
  <c r="B90" i="22"/>
  <c r="B91" i="22"/>
  <c r="E30" i="68"/>
  <c r="E41" i="29"/>
  <c r="D54" i="21"/>
  <c r="K39" i="61"/>
  <c r="K40" i="61"/>
  <c r="J121" i="84"/>
  <c r="C7" i="68"/>
  <c r="E22" i="62"/>
  <c r="B34" i="69"/>
  <c r="K34" i="69"/>
  <c r="I56" i="61"/>
  <c r="I57" i="61"/>
  <c r="F19" i="62"/>
  <c r="F20" i="62"/>
  <c r="B55" i="21"/>
  <c r="C31" i="68"/>
  <c r="C32" i="68"/>
  <c r="C55" i="21"/>
  <c r="D31" i="68"/>
  <c r="D32" i="68"/>
  <c r="D87" i="22"/>
  <c r="D90" i="22"/>
  <c r="D91" i="22"/>
  <c r="J56" i="61"/>
  <c r="J57" i="61"/>
  <c r="F21" i="62"/>
  <c r="E28" i="69"/>
  <c r="E32" i="69"/>
  <c r="F11" i="68"/>
  <c r="F52" i="21"/>
  <c r="F25" i="69"/>
  <c r="C34" i="69"/>
  <c r="H9" i="69"/>
  <c r="I13" i="68"/>
  <c r="K44" i="61"/>
  <c r="K55" i="61"/>
  <c r="H13" i="68"/>
  <c r="F41" i="29"/>
  <c r="F30" i="68"/>
  <c r="E54" i="21"/>
  <c r="C56" i="21"/>
  <c r="C57" i="21"/>
  <c r="B56" i="21"/>
  <c r="B57" i="21"/>
  <c r="D55" i="21"/>
  <c r="E31" i="68"/>
  <c r="E32" i="68"/>
  <c r="K56" i="61"/>
  <c r="K57" i="61"/>
  <c r="G41" i="29"/>
  <c r="F54" i="21"/>
  <c r="G30" i="68"/>
  <c r="G52" i="21"/>
  <c r="G25" i="69"/>
  <c r="E87" i="22"/>
  <c r="E90" i="22"/>
  <c r="E91" i="22"/>
  <c r="D34" i="69"/>
  <c r="E34" i="69"/>
  <c r="G11" i="68"/>
  <c r="F28" i="69"/>
  <c r="F32" i="69"/>
  <c r="D8" i="68"/>
  <c r="C39" i="69"/>
  <c r="C8" i="68"/>
  <c r="B18" i="69"/>
  <c r="C18" i="69"/>
  <c r="B39" i="69"/>
  <c r="C58" i="21"/>
  <c r="B58" i="21"/>
  <c r="D77" i="29"/>
  <c r="C37" i="29"/>
  <c r="C39" i="29"/>
  <c r="C42" i="29"/>
  <c r="C44" i="29"/>
  <c r="E92" i="29"/>
  <c r="E95" i="29"/>
  <c r="D37" i="29"/>
  <c r="D39" i="29"/>
  <c r="D42" i="29"/>
  <c r="D44" i="29"/>
  <c r="D55" i="29"/>
  <c r="D60" i="29"/>
  <c r="D64" i="29"/>
  <c r="E9" i="29"/>
  <c r="E14" i="29"/>
  <c r="E15" i="29"/>
  <c r="E55" i="21"/>
  <c r="D92" i="29"/>
  <c r="D95" i="29"/>
  <c r="D96" i="29"/>
  <c r="D9" i="29"/>
  <c r="D14" i="29"/>
  <c r="D15" i="29"/>
  <c r="C77" i="29"/>
  <c r="C55" i="29"/>
  <c r="C60" i="29"/>
  <c r="C64" i="29"/>
  <c r="D56" i="21"/>
  <c r="D57" i="21"/>
  <c r="G28" i="69"/>
  <c r="G32" i="69"/>
  <c r="H11" i="68"/>
  <c r="H41" i="29"/>
  <c r="H30" i="68"/>
  <c r="G54" i="21"/>
  <c r="H52" i="21"/>
  <c r="H25" i="69"/>
  <c r="F34" i="69"/>
  <c r="F87" i="22"/>
  <c r="F90" i="22"/>
  <c r="F91" i="22"/>
  <c r="D18" i="69"/>
  <c r="D39" i="69"/>
  <c r="E8" i="68"/>
  <c r="D106" i="29"/>
  <c r="D110" i="29"/>
  <c r="D114" i="29"/>
  <c r="C38" i="69"/>
  <c r="B59" i="21"/>
  <c r="C59" i="21"/>
  <c r="B38" i="69"/>
  <c r="B40" i="69"/>
  <c r="C106" i="29"/>
  <c r="C110" i="29"/>
  <c r="C114" i="29"/>
  <c r="D58" i="21"/>
  <c r="F9" i="29"/>
  <c r="F14" i="29"/>
  <c r="K18" i="69"/>
  <c r="K39" i="69"/>
  <c r="C14" i="68"/>
  <c r="C33" i="68"/>
  <c r="C35" i="68"/>
  <c r="D14" i="68"/>
  <c r="D33" i="68"/>
  <c r="E96" i="29"/>
  <c r="E37" i="29"/>
  <c r="E39" i="29"/>
  <c r="E42" i="29"/>
  <c r="E44" i="29"/>
  <c r="F31" i="68"/>
  <c r="F32" i="68"/>
  <c r="E56" i="21"/>
  <c r="E57" i="21"/>
  <c r="F55" i="21"/>
  <c r="G31" i="68"/>
  <c r="G32" i="68"/>
  <c r="E77" i="29"/>
  <c r="E55" i="29"/>
  <c r="E60" i="29"/>
  <c r="E64" i="29"/>
  <c r="F92" i="29"/>
  <c r="F95" i="29"/>
  <c r="H28" i="69"/>
  <c r="H32" i="69"/>
  <c r="I11" i="68"/>
  <c r="G87" i="22"/>
  <c r="G90" i="22"/>
  <c r="G91" i="22"/>
  <c r="H54" i="21"/>
  <c r="I30" i="68"/>
  <c r="I41" i="29"/>
  <c r="G34" i="69"/>
  <c r="F15" i="29"/>
  <c r="E18" i="69"/>
  <c r="E39" i="69"/>
  <c r="F8" i="68"/>
  <c r="D59" i="21"/>
  <c r="E106" i="29"/>
  <c r="E110" i="29"/>
  <c r="E114" i="29"/>
  <c r="D38" i="69"/>
  <c r="E58" i="21"/>
  <c r="D34" i="68"/>
  <c r="D35" i="68"/>
  <c r="B8" i="69"/>
  <c r="E14" i="68"/>
  <c r="E33" i="68"/>
  <c r="F55" i="29"/>
  <c r="F60" i="29"/>
  <c r="F64" i="29"/>
  <c r="F96" i="29"/>
  <c r="F37" i="29"/>
  <c r="F39" i="29"/>
  <c r="F42" i="29"/>
  <c r="F44" i="29"/>
  <c r="G9" i="29"/>
  <c r="G14" i="29"/>
  <c r="G15" i="29"/>
  <c r="G92" i="29"/>
  <c r="G95" i="29"/>
  <c r="F77" i="29"/>
  <c r="G55" i="21"/>
  <c r="F56" i="21"/>
  <c r="F57" i="21"/>
  <c r="H34" i="69"/>
  <c r="H87" i="22"/>
  <c r="H90" i="22"/>
  <c r="H91" i="22"/>
  <c r="F18" i="69"/>
  <c r="F39" i="69"/>
  <c r="G8" i="68"/>
  <c r="F106" i="29"/>
  <c r="F110" i="29"/>
  <c r="F114" i="29"/>
  <c r="C116" i="29"/>
  <c r="D33" i="62"/>
  <c r="E38" i="69"/>
  <c r="E59" i="21"/>
  <c r="F58" i="21"/>
  <c r="K38" i="69"/>
  <c r="E34" i="68"/>
  <c r="E35" i="68"/>
  <c r="C8" i="69"/>
  <c r="F14" i="68"/>
  <c r="F33" i="68"/>
  <c r="B12" i="69"/>
  <c r="C36" i="68"/>
  <c r="C37" i="68"/>
  <c r="K8" i="69"/>
  <c r="G14" i="68"/>
  <c r="G33" i="68"/>
  <c r="G96" i="29"/>
  <c r="H9" i="29"/>
  <c r="H14" i="29"/>
  <c r="H15" i="29"/>
  <c r="H92" i="29"/>
  <c r="H95" i="29"/>
  <c r="H31" i="68"/>
  <c r="H32" i="68"/>
  <c r="G56" i="21"/>
  <c r="G57" i="21"/>
  <c r="G77" i="29"/>
  <c r="G55" i="29"/>
  <c r="G60" i="29"/>
  <c r="G64" i="29"/>
  <c r="H55" i="21"/>
  <c r="G37" i="29"/>
  <c r="G39" i="29"/>
  <c r="G42" i="29"/>
  <c r="G44" i="29"/>
  <c r="G18" i="69"/>
  <c r="H8" i="68"/>
  <c r="G39" i="69"/>
  <c r="G106" i="29"/>
  <c r="G110" i="29"/>
  <c r="F38" i="69"/>
  <c r="F59" i="21"/>
  <c r="G58" i="21"/>
  <c r="D8" i="69"/>
  <c r="F34" i="68"/>
  <c r="F35" i="68"/>
  <c r="C12" i="69"/>
  <c r="C21" i="69"/>
  <c r="D36" i="68"/>
  <c r="D37" i="68"/>
  <c r="K12" i="69"/>
  <c r="B21" i="69"/>
  <c r="K21" i="69"/>
  <c r="C37" i="69"/>
  <c r="C40" i="69"/>
  <c r="K40" i="69"/>
  <c r="B42" i="69"/>
  <c r="I92" i="29"/>
  <c r="I95" i="29"/>
  <c r="D98" i="29"/>
  <c r="D32" i="62"/>
  <c r="H96" i="29"/>
  <c r="H37" i="29"/>
  <c r="H39" i="29"/>
  <c r="H42" i="29"/>
  <c r="H44" i="29"/>
  <c r="I31" i="68"/>
  <c r="I32" i="68"/>
  <c r="H56" i="21"/>
  <c r="H57" i="21"/>
  <c r="H18" i="69"/>
  <c r="H55" i="29"/>
  <c r="H60" i="29"/>
  <c r="H64" i="29"/>
  <c r="H77" i="29"/>
  <c r="I9" i="29"/>
  <c r="I14" i="29"/>
  <c r="I15" i="29"/>
  <c r="H39" i="69"/>
  <c r="I8" i="68"/>
  <c r="G59" i="21"/>
  <c r="H106" i="29"/>
  <c r="H110" i="29"/>
  <c r="G38" i="69"/>
  <c r="H58" i="21"/>
  <c r="H14" i="68"/>
  <c r="H33" i="68"/>
  <c r="D37" i="69"/>
  <c r="D40" i="69"/>
  <c r="C42" i="69"/>
  <c r="C44" i="69"/>
  <c r="C47" i="69"/>
  <c r="D12" i="69"/>
  <c r="D21" i="69"/>
  <c r="E36" i="68"/>
  <c r="E37" i="68"/>
  <c r="I77" i="29"/>
  <c r="C79" i="29"/>
  <c r="C82" i="29"/>
  <c r="D29" i="62"/>
  <c r="E8" i="69"/>
  <c r="G34" i="68"/>
  <c r="G35" i="68"/>
  <c r="B44" i="69"/>
  <c r="K42" i="69"/>
  <c r="J9" i="29"/>
  <c r="J14" i="29"/>
  <c r="J15" i="29"/>
  <c r="C16" i="29"/>
  <c r="D18" i="29"/>
  <c r="E18" i="29"/>
  <c r="I55" i="29"/>
  <c r="I60" i="29"/>
  <c r="I64" i="29"/>
  <c r="C66" i="29"/>
  <c r="C70" i="29"/>
  <c r="D31" i="62"/>
  <c r="J92" i="29"/>
  <c r="J95" i="29"/>
  <c r="I37" i="29"/>
  <c r="I39" i="29"/>
  <c r="I42" i="29"/>
  <c r="I44" i="29"/>
  <c r="C46" i="29"/>
  <c r="D28" i="62"/>
  <c r="I106" i="29"/>
  <c r="I110" i="29"/>
  <c r="H38" i="69"/>
  <c r="H59" i="21"/>
  <c r="E37" i="69"/>
  <c r="E40" i="69"/>
  <c r="D42" i="69"/>
  <c r="D44" i="69"/>
  <c r="D47" i="69"/>
  <c r="F8" i="69"/>
  <c r="H34" i="68"/>
  <c r="H35" i="68"/>
  <c r="B47" i="69"/>
  <c r="K44" i="69"/>
  <c r="F36" i="68"/>
  <c r="F37" i="68"/>
  <c r="E12" i="69"/>
  <c r="E21" i="69"/>
  <c r="I14" i="68"/>
  <c r="I33" i="68"/>
  <c r="D19" i="29"/>
  <c r="D30" i="62"/>
  <c r="F18" i="29"/>
  <c r="E19" i="29"/>
  <c r="G8" i="69"/>
  <c r="I34" i="68"/>
  <c r="I35" i="68"/>
  <c r="H8" i="69"/>
  <c r="G36" i="68"/>
  <c r="G37" i="68"/>
  <c r="F12" i="69"/>
  <c r="F21" i="69"/>
  <c r="E42" i="69"/>
  <c r="E44" i="69"/>
  <c r="E47" i="69"/>
  <c r="F37" i="69"/>
  <c r="F40" i="69"/>
  <c r="G18" i="29"/>
  <c r="F19" i="29"/>
  <c r="G37" i="69"/>
  <c r="G40" i="69"/>
  <c r="F42" i="69"/>
  <c r="F44" i="69"/>
  <c r="F47" i="69"/>
  <c r="H12" i="69"/>
  <c r="H21" i="69"/>
  <c r="I36" i="68"/>
  <c r="I37" i="68"/>
  <c r="G12" i="69"/>
  <c r="G21" i="69"/>
  <c r="H36" i="68"/>
  <c r="H37" i="68"/>
  <c r="H18" i="29"/>
  <c r="G19" i="29"/>
  <c r="H37" i="69"/>
  <c r="H40" i="69"/>
  <c r="G42" i="69"/>
  <c r="G44" i="69"/>
  <c r="G47" i="69"/>
  <c r="I18" i="29"/>
  <c r="H19" i="29"/>
  <c r="H42" i="69"/>
  <c r="H44" i="69"/>
  <c r="H47" i="69"/>
  <c r="J18" i="29"/>
  <c r="J19" i="29"/>
  <c r="I19" i="29"/>
  <c r="D20" i="29"/>
  <c r="F23" i="29"/>
  <c r="C9" i="61"/>
  <c r="G35" i="83"/>
  <c r="H35" i="83"/>
  <c r="F35" i="83"/>
  <c r="E35" i="83"/>
  <c r="C35" i="83"/>
  <c r="D35" i="83"/>
  <c r="C30" i="83"/>
  <c r="D30" i="83"/>
  <c r="E30" i="83"/>
  <c r="F30" i="83"/>
  <c r="G30" i="83"/>
  <c r="H30" i="83"/>
</calcChain>
</file>

<file path=xl/sharedStrings.xml><?xml version="1.0" encoding="utf-8"?>
<sst xmlns="http://schemas.openxmlformats.org/spreadsheetml/2006/main" count="2129" uniqueCount="978">
  <si>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</si>
  <si>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</si>
  <si>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</si>
  <si>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</si>
  <si>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</si>
  <si>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</si>
  <si>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</si>
  <si>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</si>
  <si>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</si>
  <si>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</si>
  <si>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</si>
  <si>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</si>
  <si>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</si>
  <si>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</si>
  <si>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</si>
  <si>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</si>
  <si>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</si>
  <si>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</si>
  <si>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</si>
  <si>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</si>
  <si>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</si>
  <si>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</si>
  <si>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</si>
  <si>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</si>
  <si>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</si>
  <si>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</si>
  <si>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</si>
  <si>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</si>
  <si>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</si>
  <si>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</si>
  <si>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</si>
  <si>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</si>
  <si>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</si>
  <si>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</si>
  <si>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</si>
  <si>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</si>
  <si>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</si>
  <si>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</si>
  <si>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</si>
  <si>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</si>
  <si>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</si>
  <si>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</si>
  <si>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</si>
  <si>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</si>
  <si>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</si>
  <si>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</si>
  <si>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</si>
  <si>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</si>
  <si>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</si>
  <si>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</si>
  <si>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</si>
  <si>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</si>
  <si>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</si>
  <si>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</si>
  <si>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</si>
  <si>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</si>
  <si>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</si>
  <si>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</si>
  <si>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</si>
  <si>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</si>
  <si>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</si>
  <si>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</si>
  <si>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</si>
  <si>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</si>
  <si>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</si>
  <si>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</si>
  <si>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</si>
  <si>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</si>
  <si>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</si>
  <si>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</si>
  <si>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</si>
  <si>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</si>
  <si>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</si>
  <si>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</si>
  <si>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</si>
  <si>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</si>
  <si>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</si>
  <si>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</si>
  <si>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</si>
  <si>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</si>
  <si>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</si>
  <si>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</si>
  <si>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</si>
  <si>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</si>
  <si>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</si>
  <si>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</si>
  <si>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</si>
  <si>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</si>
  <si>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</si>
  <si>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</si>
  <si>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</si>
  <si>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</si>
  <si>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</si>
  <si>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</si>
  <si>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</si>
  <si>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</si>
  <si>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</si>
  <si>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</si>
  <si>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</si>
  <si>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</si>
  <si>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</si>
  <si>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</si>
  <si>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</si>
  <si>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</si>
  <si>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</si>
  <si>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</si>
  <si>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</si>
  <si>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</si>
  <si>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</si>
  <si>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</si>
  <si>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</si>
  <si>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</si>
  <si>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</si>
  <si>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</si>
  <si>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</si>
  <si>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</si>
  <si>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</si>
  <si>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</si>
  <si>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</si>
  <si>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</si>
  <si>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</si>
  <si>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</si>
  <si>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</si>
  <si>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</si>
  <si>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</si>
  <si>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</si>
  <si>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</si>
  <si>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</si>
  <si>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</si>
  <si>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</si>
  <si>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</si>
  <si>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</si>
  <si>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</si>
  <si>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</si>
  <si>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</si>
  <si>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</si>
  <si>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</si>
  <si>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</si>
  <si>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</si>
  <si>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</si>
  <si>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</si>
  <si>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</si>
  <si>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</si>
  <si>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</si>
  <si>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</si>
  <si>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</si>
  <si>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</si>
  <si>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</si>
  <si>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</si>
  <si>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</si>
  <si>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</si>
  <si>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</si>
  <si>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</si>
  <si>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</si>
  <si>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</si>
  <si>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</si>
  <si>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</si>
  <si>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</si>
  <si>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</si>
  <si>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</si>
  <si>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</si>
  <si>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</si>
  <si>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</si>
  <si>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</si>
  <si>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</si>
  <si>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</si>
  <si>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</si>
  <si>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</si>
  <si>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</si>
  <si>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</si>
  <si>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</si>
  <si>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</si>
  <si>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</si>
  <si>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</si>
  <si>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</si>
  <si>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</si>
  <si>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</si>
  <si>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</si>
  <si>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</si>
  <si>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</si>
  <si>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</si>
  <si>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</si>
  <si>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</si>
  <si>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</si>
  <si>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</si>
  <si>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</si>
  <si>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</si>
  <si>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</si>
  <si>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</si>
  <si>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</si>
  <si>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</si>
  <si>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</si>
  <si>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</si>
  <si>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</si>
  <si>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</si>
  <si>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</si>
  <si>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</si>
  <si>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</si>
  <si>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</si>
  <si>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</si>
  <si>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</si>
  <si>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</si>
  <si>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</si>
  <si>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</si>
  <si>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</si>
  <si>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</si>
  <si>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</si>
  <si>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</si>
  <si>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</si>
  <si>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</si>
  <si>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</si>
  <si>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</si>
  <si>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</si>
  <si>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</si>
  <si>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</si>
  <si>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</si>
  <si>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</si>
  <si>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</si>
  <si>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</si>
  <si>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</si>
  <si>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</si>
  <si>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</si>
  <si>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</si>
  <si>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</si>
  <si>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</si>
  <si>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</si>
  <si>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</si>
  <si>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</si>
  <si>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</si>
  <si>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</si>
  <si>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</si>
  <si>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</si>
  <si>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</si>
  <si>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</si>
  <si>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</si>
  <si>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</si>
  <si>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</si>
  <si>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</si>
  <si>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</si>
  <si>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</si>
  <si>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</si>
  <si>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</si>
  <si>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</si>
  <si>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</si>
  <si>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</si>
  <si>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</si>
  <si>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</si>
  <si>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</si>
  <si>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</si>
  <si>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</si>
  <si>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</si>
  <si>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</si>
  <si>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</si>
  <si>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</si>
  <si>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</si>
  <si>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</si>
  <si>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</si>
  <si>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</si>
  <si>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</si>
  <si>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</si>
  <si>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</si>
  <si>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</si>
  <si>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</si>
  <si>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</si>
  <si>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</si>
  <si>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</si>
  <si>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</si>
  <si>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</si>
  <si>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</si>
  <si>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</si>
  <si>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</si>
  <si>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</si>
  <si>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</si>
  <si>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</si>
  <si>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</si>
  <si>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</si>
  <si>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</si>
  <si>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</si>
  <si>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</si>
  <si>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</si>
  <si>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</si>
  <si>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</si>
  <si>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</si>
  <si>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</si>
  <si>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</si>
  <si>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</si>
  <si>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</si>
  <si>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</si>
  <si>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</si>
  <si>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</si>
  <si>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</si>
  <si>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</si>
  <si>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</si>
  <si>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</si>
  <si>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</si>
  <si>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</si>
  <si>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</si>
  <si>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</si>
  <si>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</si>
  <si>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</si>
  <si>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</si>
  <si>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</si>
  <si>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</si>
  <si>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</si>
  <si>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</si>
  <si>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</si>
  <si>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</si>
  <si>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</si>
  <si>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</si>
  <si>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</si>
  <si>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</si>
  <si>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</si>
  <si>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</si>
  <si>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</si>
  <si>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</si>
  <si>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</si>
  <si>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</si>
  <si>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</si>
  <si>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</si>
  <si>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</si>
  <si>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</si>
  <si>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</si>
  <si>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</si>
  <si>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</si>
  <si>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</si>
  <si>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</si>
  <si>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</si>
  <si>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</si>
  <si>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</si>
  <si>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</si>
  <si>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</si>
  <si>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</si>
  <si>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</si>
  <si>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</si>
  <si>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</si>
  <si>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</si>
  <si>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</si>
  <si>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</si>
  <si>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</si>
  <si>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</si>
  <si>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</si>
  <si>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</si>
  <si>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</si>
  <si>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</si>
  <si>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</si>
  <si>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</si>
  <si>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</si>
  <si>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</si>
  <si>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</si>
  <si>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</si>
  <si>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</si>
  <si>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</si>
  <si>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</si>
  <si>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</si>
  <si>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</si>
  <si>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</si>
  <si>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</si>
  <si>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</si>
  <si>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</si>
  <si>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</si>
  <si>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</si>
  <si>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</si>
  <si>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</si>
  <si>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</si>
  <si>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</si>
  <si>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</si>
  <si>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</si>
  <si>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</si>
  <si>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</si>
  <si>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</si>
  <si>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</si>
  <si>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</si>
  <si>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</si>
  <si>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</si>
  <si>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</si>
  <si>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</si>
  <si>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</si>
  <si>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</si>
  <si>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</si>
  <si>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</si>
  <si>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</si>
  <si>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</si>
  <si>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Total Production (In Quintals)</t>
  </si>
  <si>
    <t>Marketable Surplus ( In Quintals)</t>
  </si>
  <si>
    <t>Kharif</t>
  </si>
  <si>
    <t>Rabbi</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</si>
  <si>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</si>
  <si>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</si>
  <si>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</si>
  <si>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</si>
  <si>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</si>
  <si>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</si>
  <si>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</si>
  <si>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</si>
  <si>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</si>
  <si>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</si>
  <si>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</si>
  <si>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</si>
  <si>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</si>
  <si>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</si>
  <si>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</si>
  <si>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</si>
  <si>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</si>
  <si>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</si>
  <si>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</si>
  <si>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</si>
  <si>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</si>
  <si>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</si>
  <si>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</si>
  <si>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</si>
  <si>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</si>
  <si>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</si>
  <si>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</si>
  <si>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</si>
  <si>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</si>
  <si>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</si>
  <si>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</si>
  <si>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</si>
  <si>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</si>
  <si>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</si>
  <si>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</si>
  <si>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</si>
  <si>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</si>
  <si>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</si>
  <si>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</si>
  <si>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</si>
  <si>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</si>
  <si>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</si>
  <si>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</si>
  <si>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</si>
  <si>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</si>
  <si>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</si>
  <si>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</si>
  <si>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</si>
  <si>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</si>
  <si>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</si>
  <si>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</si>
  <si>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</si>
  <si>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</si>
  <si>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</si>
  <si>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</si>
  <si>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</si>
  <si>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</si>
  <si>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</si>
  <si>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</si>
  <si>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</si>
  <si>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</si>
  <si>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</si>
  <si>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</si>
  <si>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Summer</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</si>
  <si>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</si>
  <si>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</si>
  <si>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</si>
  <si>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</si>
  <si>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</si>
  <si>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</si>
  <si>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</si>
  <si>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</si>
  <si>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</si>
  <si>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</si>
  <si>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</si>
  <si>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</si>
  <si>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</si>
  <si>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Area Under Summer Cultivation ( In Acres)</t>
  </si>
  <si>
    <t>Chilli</t>
  </si>
  <si>
    <t>Pomegranate</t>
  </si>
  <si>
    <t>Total No.of Non-members  Cultivating F &amp; V</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</si>
  <si>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</si>
  <si>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</si>
  <si>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</si>
  <si>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</si>
  <si>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</si>
  <si>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</si>
  <si>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</si>
  <si>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</si>
  <si>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</si>
  <si>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</si>
  <si>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</si>
  <si>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</si>
  <si>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</si>
  <si>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</si>
  <si>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</si>
  <si>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</si>
  <si>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</si>
  <si>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</si>
  <si>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</si>
  <si>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</si>
  <si>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</si>
  <si>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</si>
  <si>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</si>
  <si>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</si>
  <si>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</si>
  <si>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</si>
  <si>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</si>
  <si>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</si>
  <si>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</si>
  <si>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</si>
  <si>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</si>
  <si>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</si>
  <si>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</si>
  <si>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</si>
  <si>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</si>
  <si>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</si>
  <si>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</si>
  <si>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</si>
  <si>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</si>
  <si>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</si>
  <si>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</si>
  <si>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</si>
  <si>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</si>
  <si>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</si>
  <si>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</si>
  <si>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</si>
  <si>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</si>
  <si>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</si>
  <si>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</si>
  <si>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</si>
  <si>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</si>
  <si>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</si>
  <si>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</si>
  <si>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</si>
  <si>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</si>
  <si>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</si>
  <si>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</si>
  <si>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</si>
  <si>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</si>
  <si>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</si>
  <si>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</si>
  <si>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</si>
  <si>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</si>
  <si>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</si>
  <si>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</si>
  <si>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</si>
  <si>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</si>
  <si>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</si>
  <si>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</si>
  <si>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</si>
  <si>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</si>
  <si>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</si>
  <si>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</si>
  <si>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</si>
  <si>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</si>
  <si>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</si>
  <si>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</si>
  <si>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</si>
  <si>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</si>
  <si>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</si>
  <si>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</si>
  <si>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</si>
  <si>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</si>
  <si>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</si>
  <si>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</si>
  <si>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</si>
  <si>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</si>
  <si>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</si>
  <si>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</si>
  <si>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</si>
  <si>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</si>
  <si>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</si>
  <si>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</si>
  <si>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</si>
  <si>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</si>
  <si>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</si>
  <si>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</si>
  <si>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</si>
  <si>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</si>
  <si>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</si>
  <si>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</si>
  <si>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</si>
  <si>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</si>
  <si>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</si>
  <si>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</si>
  <si>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</si>
  <si>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</si>
  <si>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</si>
  <si>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</si>
  <si>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</si>
  <si>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</si>
  <si>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</si>
  <si>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</si>
  <si>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</si>
  <si>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</si>
  <si>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</si>
  <si>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</si>
  <si>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</si>
  <si>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</si>
  <si>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</si>
  <si>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</si>
  <si>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</si>
  <si>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</si>
  <si>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</si>
  <si>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</si>
  <si>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</si>
  <si>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</si>
  <si>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</si>
  <si>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</si>
  <si>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</si>
  <si>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</si>
  <si>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</si>
  <si>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</si>
  <si>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</si>
  <si>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</si>
  <si>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</si>
  <si>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</si>
  <si>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</si>
  <si>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</si>
  <si>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</si>
  <si>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</si>
  <si>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</si>
  <si>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</si>
  <si>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</si>
  <si>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</si>
  <si>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</si>
  <si>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</si>
  <si>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</si>
  <si>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</si>
  <si>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</si>
  <si>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</si>
  <si>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</si>
  <si>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</si>
  <si>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</si>
  <si>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</si>
  <si>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</si>
  <si>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</si>
  <si>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</si>
  <si>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</si>
  <si>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</si>
  <si>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</si>
  <si>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</si>
  <si>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</si>
  <si>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</si>
  <si>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</si>
  <si>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</si>
  <si>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</si>
  <si>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</si>
  <si>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</si>
  <si>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</si>
  <si>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</si>
  <si>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</si>
  <si>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No of days of opertaion (Captive Operations)</t>
  </si>
  <si>
    <t>Tomato</t>
  </si>
  <si>
    <t>Average Land Holding per member(Ha)</t>
  </si>
  <si>
    <t>Total Cultivated Land Under F &amp; V (Ha)</t>
  </si>
  <si>
    <t>Total Land under Cultivaion ( In Ha)</t>
  </si>
  <si>
    <t>Total Annual Plant Capacity (MT)</t>
  </si>
  <si>
    <t>60% reserved for JW Services</t>
  </si>
  <si>
    <t>40% reserved for Captive operations</t>
  </si>
  <si>
    <t xml:space="preserve">Job work Charges- Rs/MT </t>
  </si>
  <si>
    <t>Total Input -Tomato (MT)</t>
  </si>
  <si>
    <t>Total Input -Chilli (MT)</t>
  </si>
  <si>
    <t>Animal Feed</t>
  </si>
  <si>
    <t>Waste</t>
  </si>
  <si>
    <t>Captive Operations Grade Output -Tomato(MT)</t>
  </si>
  <si>
    <t>Captive Operations Grade Output -Chilli(MT)</t>
  </si>
  <si>
    <t>Green Chilli</t>
  </si>
  <si>
    <t>Red Chilli</t>
  </si>
  <si>
    <t>Vegetables processed per day (MT)</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</si>
  <si>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</si>
  <si>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</si>
  <si>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</si>
  <si>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</si>
  <si>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</si>
  <si>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</si>
  <si>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</si>
  <si>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</si>
  <si>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</si>
  <si>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</si>
  <si>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</si>
  <si>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</si>
  <si>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</si>
  <si>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</si>
  <si>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</si>
  <si>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</si>
  <si>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</si>
  <si>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</si>
  <si>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</si>
  <si>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</si>
  <si>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</si>
  <si>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</si>
  <si>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</si>
  <si>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</si>
  <si>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</si>
  <si>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</si>
  <si>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</si>
  <si>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</si>
  <si>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</si>
  <si>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</si>
  <si>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</si>
  <si>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</si>
  <si>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</si>
  <si>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</si>
  <si>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</si>
  <si>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</si>
  <si>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</si>
  <si>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</si>
  <si>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</si>
  <si>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</si>
  <si>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</si>
  <si>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</si>
  <si>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</si>
  <si>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</si>
  <si>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</si>
  <si>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</si>
  <si>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</si>
  <si>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</si>
  <si>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</si>
  <si>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</si>
  <si>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</si>
  <si>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</si>
  <si>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</si>
  <si>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</si>
  <si>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</si>
  <si>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</si>
  <si>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</si>
  <si>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</si>
  <si>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</si>
  <si>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</si>
  <si>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</si>
  <si>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</si>
  <si>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</si>
  <si>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</si>
  <si>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</si>
  <si>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</si>
  <si>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</si>
  <si>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6MT</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</si>
  <si>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</si>
  <si>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</si>
  <si>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</si>
  <si>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</si>
  <si>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</si>
  <si>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</si>
  <si>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</si>
  <si>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</si>
  <si>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</si>
  <si>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</si>
  <si>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</si>
  <si>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</si>
  <si>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</si>
  <si>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</si>
  <si>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</si>
  <si>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</si>
  <si>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</si>
  <si>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</si>
  <si>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</si>
  <si>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</si>
  <si>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</si>
  <si>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</si>
  <si>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</si>
  <si>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</si>
  <si>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</si>
  <si>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</si>
  <si>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</si>
  <si>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</si>
  <si>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</si>
  <si>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</si>
  <si>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</si>
  <si>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</si>
  <si>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</si>
  <si>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</si>
  <si>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</si>
  <si>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</si>
  <si>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</si>
  <si>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</si>
  <si>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</si>
  <si>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</si>
  <si>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</si>
  <si>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</si>
  <si>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</si>
  <si>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</si>
  <si>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</si>
  <si>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</si>
  <si>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</si>
  <si>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</si>
  <si>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</si>
  <si>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</si>
  <si>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</si>
  <si>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</si>
  <si>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</si>
  <si>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</si>
  <si>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</si>
  <si>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</si>
  <si>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</si>
  <si>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</si>
  <si>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</si>
  <si>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</si>
  <si>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</si>
  <si>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</si>
  <si>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</si>
  <si>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</si>
  <si>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</si>
  <si>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</si>
  <si>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</si>
  <si>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</si>
  <si>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</si>
  <si>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</si>
  <si>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</si>
  <si>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</si>
  <si>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</si>
  <si>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</si>
  <si>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</si>
  <si>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</si>
  <si>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</si>
  <si>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</si>
  <si>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</si>
  <si>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</si>
  <si>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</si>
  <si>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</si>
  <si>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</si>
  <si>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</si>
  <si>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</si>
  <si>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</si>
  <si>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</si>
  <si>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</si>
  <si>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</si>
  <si>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</si>
  <si>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</si>
  <si>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</si>
  <si>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</si>
  <si>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</si>
  <si>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</si>
  <si>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</si>
  <si>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</si>
  <si>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</si>
  <si>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</si>
  <si>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Cold Store Capacity</t>
  </si>
  <si>
    <t>Capacity Utilization</t>
  </si>
  <si>
    <t>JW Services</t>
  </si>
  <si>
    <t>Farm Implements-Custom Hiring</t>
  </si>
  <si>
    <t>Closing Stock- Raw Material</t>
  </si>
  <si>
    <t>1 days</t>
  </si>
  <si>
    <t>15 days</t>
  </si>
  <si>
    <t>Advances to Suppliers</t>
  </si>
  <si>
    <t>0 days</t>
  </si>
  <si>
    <t>Purchase Price (in Rs. Per MT)</t>
  </si>
  <si>
    <t>Farm Level Support Cost</t>
  </si>
  <si>
    <t>Discounted RM price (due to farm level interventions) as % of mandi price</t>
  </si>
  <si>
    <t xml:space="preserve">Job Work Charges </t>
  </si>
  <si>
    <t>Vegetable Cleaning &amp; Grading (in Rs. Per MT)</t>
  </si>
  <si>
    <t>Farm Implement Business (in Rs. Per Acre - Fixed)</t>
  </si>
  <si>
    <t>FI1</t>
  </si>
  <si>
    <t>FI2</t>
  </si>
  <si>
    <t xml:space="preserve">Inflation assumed </t>
  </si>
  <si>
    <t>5% p.a.</t>
  </si>
  <si>
    <t>Sales Price (in Rs. Per MT)</t>
  </si>
  <si>
    <t>Loan Interest Rate</t>
  </si>
  <si>
    <t>Term Loan Tenure (inc. Moratorium of 12 months)</t>
  </si>
  <si>
    <t>84 months (7 years)</t>
  </si>
  <si>
    <t>Income Tax calc.</t>
  </si>
  <si>
    <t>Current Liability</t>
  </si>
  <si>
    <t>Sundry Debtors</t>
  </si>
  <si>
    <t>Bran</t>
  </si>
  <si>
    <t>Jari</t>
  </si>
  <si>
    <t>Total Input</t>
  </si>
  <si>
    <t>Capative Mix</t>
  </si>
  <si>
    <t>30 days</t>
  </si>
  <si>
    <t>Name</t>
  </si>
  <si>
    <t>Finished Goods  -Chilli(MT)</t>
  </si>
  <si>
    <t>Finished Goods -Tomato(MT)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</si>
  <si>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</si>
  <si>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</si>
  <si>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</si>
  <si>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</si>
  <si>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</si>
  <si>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</si>
  <si>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</si>
  <si>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</si>
  <si>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</si>
  <si>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</si>
  <si>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 xml:space="preserve">Godown </t>
  </si>
  <si>
    <t>Machine Shed</t>
  </si>
  <si>
    <t xml:space="preserve">Oil Machine </t>
  </si>
  <si>
    <t>0.5 TPH</t>
  </si>
  <si>
    <t>Automatic 4 head pouch Oil Filling Machine</t>
  </si>
  <si>
    <t>Semi Automatic Screw Capping</t>
  </si>
  <si>
    <t>Automatic Bottlel labelling</t>
  </si>
  <si>
    <t>From fill seal machine</t>
  </si>
  <si>
    <t>Total Input (Flax/ Safflower/Mustard) (MT)</t>
  </si>
  <si>
    <t>Total Input (Flax) (MT)</t>
  </si>
  <si>
    <t>Total Input (Safflower) (MT)</t>
  </si>
  <si>
    <t>Total Input -Mustard (MT)</t>
  </si>
  <si>
    <t>1000 MT</t>
  </si>
  <si>
    <t>Captive Operations Grade Output (Flax)(MT)</t>
  </si>
  <si>
    <t>Flax Oil</t>
  </si>
  <si>
    <t>Oil Cake</t>
  </si>
  <si>
    <t>Mustard  Oil</t>
  </si>
  <si>
    <t>Captive Operations Grade Output (Mustard)(MT)</t>
  </si>
  <si>
    <t>Finished Goods  -Flax Oil(MT)</t>
  </si>
  <si>
    <t>Finished Goods  -Musterd Oil(MT)</t>
  </si>
  <si>
    <t>Flax</t>
  </si>
  <si>
    <t>Mustered</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</si>
  <si>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</si>
  <si>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</si>
  <si>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</si>
  <si>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</si>
  <si>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</si>
  <si>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</si>
  <si>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</si>
  <si>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</si>
  <si>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</si>
  <si>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</si>
  <si>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</si>
  <si>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</si>
  <si>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</si>
  <si>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</si>
  <si>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Processing Unit - Oil Mill</t>
  </si>
  <si>
    <t>Faclitiy 2 - Processing Unit- Oil Mill</t>
  </si>
  <si>
    <t>Botteling , Pouching and Labeling Cost</t>
  </si>
  <si>
    <t xml:space="preserve">Total Capitive Production </t>
  </si>
  <si>
    <t>UNIT</t>
  </si>
  <si>
    <t>RATE</t>
  </si>
  <si>
    <t>No</t>
  </si>
  <si>
    <t>Cost of bottelling &amp; Labelling</t>
  </si>
  <si>
    <t xml:space="preserve">Purchase cost of 1 L Bottle </t>
  </si>
  <si>
    <t>Purchase cost og 5L Bottle</t>
  </si>
  <si>
    <t>Labelling Cost of 1L Bottle</t>
  </si>
  <si>
    <t>Labelling Cost of 5L Bottle</t>
  </si>
  <si>
    <t>Ltr</t>
  </si>
  <si>
    <t>1 liter</t>
  </si>
  <si>
    <t>900gm</t>
  </si>
  <si>
    <t>5l Total Bottles ( 5L= 4.5kg)</t>
  </si>
  <si>
    <t>1 L Total Bottles (1L = 900 gm)</t>
  </si>
  <si>
    <t>Production In Ltr For Botteling</t>
  </si>
  <si>
    <t>(1L = 900 gm)</t>
  </si>
  <si>
    <t>No Of Bottels</t>
  </si>
  <si>
    <t>5 Ltr Bottle</t>
  </si>
  <si>
    <t>1 Ltr Bottle</t>
  </si>
  <si>
    <t>1Ltr Pouch</t>
  </si>
  <si>
    <t>500 ML Pouch</t>
  </si>
  <si>
    <t>No Of Pouches</t>
  </si>
  <si>
    <t xml:space="preserve">500ML Total Bottles </t>
  </si>
  <si>
    <t xml:space="preserve">1 L Total Pouches </t>
  </si>
  <si>
    <t>Botteling 70%</t>
  </si>
  <si>
    <t>Pouching 30%</t>
  </si>
  <si>
    <t>Production In Ltr For Pouching</t>
  </si>
  <si>
    <t>Cost of Pouching &amp; Labelling</t>
  </si>
  <si>
    <t>Purchase cost of 1 L Pouch</t>
  </si>
  <si>
    <t>Purchase cost og 500ML Bottle</t>
  </si>
  <si>
    <t>15days</t>
  </si>
  <si>
    <t>Rate (per Unit)</t>
  </si>
  <si>
    <t>62 KVA (Power chart)</t>
  </si>
  <si>
    <t xml:space="preserve">Packaging And Labeling </t>
  </si>
  <si>
    <t>As  per Schedule</t>
  </si>
  <si>
    <t xml:space="preserve">Output retained </t>
  </si>
  <si>
    <t>Flax oil cake</t>
  </si>
  <si>
    <t>Safflower oil cake</t>
  </si>
  <si>
    <t>Mustered oil cake</t>
  </si>
  <si>
    <t>Profit after Appropriation</t>
  </si>
  <si>
    <t>Investment</t>
  </si>
  <si>
    <t>Appropriation 40% for Investment reserve ( Distribution of Dividend and Bonus Shares)</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</si>
  <si>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</si>
  <si>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</si>
  <si>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Total No.of Members  Cultivating Seed</t>
  </si>
  <si>
    <t xml:space="preserve">Flax Seed </t>
  </si>
  <si>
    <t>Transformer</t>
  </si>
  <si>
    <t>200KVA</t>
  </si>
  <si>
    <t>Oil Mill Unit</t>
  </si>
  <si>
    <t>Facility 2 - Grain Processing Unit - Oil Mill</t>
  </si>
  <si>
    <t>10.3 Quantity of Marketable Surplus Produce Considered for Trading Business( Job Work )</t>
  </si>
  <si>
    <t>Fruit  &amp; Vegetables Crop Production Details</t>
  </si>
  <si>
    <t>Total No.of Members  Cultivating F &amp; V</t>
  </si>
  <si>
    <t>Average Land Holding per member(Acres)</t>
  </si>
  <si>
    <t>Total Cultivated Land Under F &amp; V (Acres)</t>
  </si>
  <si>
    <t>Onion</t>
  </si>
  <si>
    <t>Okra</t>
  </si>
  <si>
    <t>Potato</t>
  </si>
  <si>
    <t>Brinjal</t>
  </si>
  <si>
    <t>Area Under Fruit Crops ( In Acres)</t>
  </si>
  <si>
    <t>Custard Apple</t>
  </si>
  <si>
    <t>Guava</t>
  </si>
  <si>
    <t>Citrus</t>
  </si>
  <si>
    <t>11.3 Quantity of Marketable Surplus Produce Considered for Trading Business</t>
  </si>
  <si>
    <t>Grain Processing Machainary</t>
  </si>
  <si>
    <t>Safflower</t>
  </si>
  <si>
    <t>Safflower Oil</t>
  </si>
  <si>
    <t>Finished Goods Safflower Oil(MT)</t>
  </si>
  <si>
    <t>10 Grain Crop Production Details</t>
  </si>
  <si>
    <t>13.2 Activity 6 - Profit and loss of Grain Processing Unit (Oil Mill)</t>
  </si>
  <si>
    <t>Captive Operations Grade Output (SAFFOWER)(MT)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</si>
</sst>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_ * #,##0.00_ ;_ * \-#,##0.00_ ;_ * &quot;-&quot;??_ ;_ @_ "/>
    <numFmt numFmtId="165" formatCode="_(* #,##0.00_);_(* \(#,##0.00\);_(* &quot;-&quot;??_);_(@_)"/>
    <numFmt numFmtId="166" formatCode="&quot;Rs.&quot;\ #,##0.00;[Red]&quot;Rs.&quot;\ \-#,##0.00"/>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0.00_ ;[Red]\-#,##0.00\ "/>
    <numFmt numFmtId="173" formatCode="_ * #,##0.0_ ;_ * \-#,##0.0_ ;_ * &quot;-&quot;??_ ;_ @_ "/>
    <numFmt numFmtId="174" formatCode="0.0"/>
  </numFmts>
  <fonts count="95" x14ac:knownFonts="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
      <b/>
      <sz val="14"/>
      <color rgb="FF000000"/>
      <name val="Times New Roman"/>
    </font>
    <font>
      <sz val="11"/>
      <name val="Calibri"/>
    </font>
    <font>
      <b/>
      <sz val="11"/>
      <color rgb="FFFFFFFF"/>
      <name val="Calibri"/>
    </font>
    <font>
      <b/>
      <sz val="11"/>
      <color rgb="FF000000"/>
      <name val="Calibri"/>
    </font>
    <font>
      <b/>
      <sz val="14"/>
      <name val="Times New Roman"/>
    </font>
    <font>
      <sz val="11"/>
      <color rgb="FFFFFFFF"/>
      <name val="Calibri"/>
    </font>
  </fonts>
  <fills count="21">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333300"/>
        <bgColor rgb="FF333300"/>
      </patternFill>
    </fill>
    <fill>
      <patternFill patternType="solid">
        <fgColor rgb="FFFFFF00"/>
        <bgColor rgb="FFFFFF00"/>
      </patternFill>
    </fill>
    <fill>
      <patternFill patternType="solid">
        <fgColor rgb="FF92D050"/>
        <bgColor rgb="FF92D05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1">
    <xf numFmtId="0" fontId="0" fillId="0" borderId="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44" fontId="1" fillId="0" borderId="0" applyFont="0" applyFill="0" applyBorder="0" applyAlignment="0" applyProtection="0"/>
    <xf numFmtId="164" fontId="18" fillId="0" borderId="0" applyFont="0" applyFill="0" applyBorder="0" applyAlignment="0" applyProtection="0"/>
  </cellStyleXfs>
  <cellXfs count="793">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43" fontId="0" fillId="0" borderId="0" xfId="0" applyNumberFormat="1"/>
    <xf numFmtId="0" fontId="0" fillId="0" borderId="0" xfId="0" applyAlignment="1">
      <alignment horizontal="center"/>
    </xf>
    <xf numFmtId="43" fontId="0" fillId="0" borderId="0" xfId="3" applyFont="1"/>
    <xf numFmtId="167"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2" fontId="14" fillId="0" borderId="0" xfId="9" applyNumberFormat="1" applyFont="1" applyFill="1" applyBorder="1" applyAlignment="1">
      <alignment vertical="center"/>
    </xf>
    <xf numFmtId="167" fontId="17" fillId="0" borderId="0" xfId="3" applyNumberFormat="1" applyFont="1" applyFill="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2" fillId="0" borderId="0" xfId="0" applyFont="1" applyAlignment="1">
      <alignment horizontal="center"/>
    </xf>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0" fontId="23" fillId="5" borderId="1" xfId="0" applyFont="1" applyFill="1" applyBorder="1" applyAlignment="1">
      <alignment horizontal="center"/>
    </xf>
    <xf numFmtId="0" fontId="4" fillId="0" borderId="1" xfId="0" applyFont="1" applyFill="1" applyBorder="1"/>
    <xf numFmtId="164" fontId="4" fillId="0" borderId="1" xfId="10" applyFont="1" applyFill="1" applyBorder="1"/>
    <xf numFmtId="171" fontId="4" fillId="0" borderId="1" xfId="10" applyNumberFormat="1" applyFont="1" applyFill="1" applyBorder="1"/>
    <xf numFmtId="0" fontId="6" fillId="0" borderId="1" xfId="0" applyFont="1" applyFill="1" applyBorder="1"/>
    <xf numFmtId="165" fontId="6" fillId="0" borderId="1" xfId="10" applyNumberFormat="1" applyFont="1" applyFill="1" applyBorder="1"/>
    <xf numFmtId="0" fontId="4" fillId="0" borderId="0" xfId="0" applyFont="1" applyFill="1"/>
    <xf numFmtId="171" fontId="4" fillId="0" borderId="0" xfId="10" applyNumberFormat="1" applyFont="1" applyFill="1"/>
    <xf numFmtId="173"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0" fontId="27" fillId="0" borderId="1" xfId="0" applyFont="1" applyBorder="1" applyAlignment="1">
      <alignment wrapText="1"/>
    </xf>
    <xf numFmtId="2" fontId="27" fillId="0" borderId="1" xfId="0" applyNumberFormat="1" applyFont="1" applyBorder="1"/>
    <xf numFmtId="165"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0" fontId="6" fillId="0" borderId="5" xfId="0"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Fill="1" applyBorder="1"/>
    <xf numFmtId="0" fontId="27" fillId="0" borderId="1" xfId="0" applyFont="1" applyFill="1" applyBorder="1" applyAlignment="1">
      <alignment horizontal="left"/>
    </xf>
    <xf numFmtId="0" fontId="6" fillId="0" borderId="1" xfId="0" applyFont="1" applyFill="1" applyBorder="1" applyAlignment="1">
      <alignment horizontal="left"/>
    </xf>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10" fontId="27" fillId="0" borderId="0" xfId="0" applyNumberFormat="1" applyFont="1"/>
    <xf numFmtId="43"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4"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6"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4"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43"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9" fontId="54" fillId="7" borderId="1" xfId="0" applyNumberFormat="1" applyFont="1" applyFill="1" applyBorder="1"/>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69" fontId="6" fillId="0" borderId="1" xfId="2" applyNumberFormat="1" applyFont="1" applyFill="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2" xfId="0" applyFill="1"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Fill="1" applyBorder="1" applyAlignment="1">
      <alignment wrapText="1"/>
    </xf>
    <xf numFmtId="169" fontId="69" fillId="0" borderId="1" xfId="2" applyNumberFormat="1" applyFont="1" applyBorder="1"/>
    <xf numFmtId="0" fontId="56" fillId="0" borderId="1" xfId="0" applyFont="1" applyFill="1" applyBorder="1"/>
    <xf numFmtId="165" fontId="70" fillId="0" borderId="1" xfId="2" applyFont="1" applyBorder="1"/>
    <xf numFmtId="0" fontId="72" fillId="0" borderId="1" xfId="0" applyFont="1" applyBorder="1"/>
    <xf numFmtId="1" fontId="72" fillId="0" borderId="1" xfId="0" applyNumberFormat="1" applyFont="1" applyBorder="1"/>
    <xf numFmtId="0" fontId="73" fillId="0" borderId="1" xfId="0" applyFont="1" applyFill="1" applyBorder="1" applyAlignment="1">
      <alignment horizontal="center"/>
    </xf>
    <xf numFmtId="0" fontId="71" fillId="0" borderId="1" xfId="0" applyFont="1" applyFill="1" applyBorder="1"/>
    <xf numFmtId="0" fontId="71" fillId="0" borderId="1" xfId="0" applyFont="1" applyFill="1" applyBorder="1" applyAlignment="1">
      <alignment horizontal="center"/>
    </xf>
    <xf numFmtId="0" fontId="74" fillId="0" borderId="1" xfId="0" applyFont="1" applyFill="1" applyBorder="1"/>
    <xf numFmtId="0" fontId="70" fillId="0" borderId="1" xfId="0" applyFont="1" applyBorder="1" applyAlignment="1">
      <alignment horizontal="center"/>
    </xf>
    <xf numFmtId="165" fontId="72" fillId="0" borderId="1" xfId="2" applyFont="1" applyBorder="1"/>
    <xf numFmtId="165" fontId="56" fillId="0" borderId="1" xfId="2" applyFont="1" applyBorder="1"/>
    <xf numFmtId="165"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5"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69" fontId="72" fillId="0" borderId="1" xfId="2" applyNumberFormat="1" applyFont="1" applyFill="1" applyBorder="1" applyAlignment="1">
      <alignment horizontal="right"/>
    </xf>
    <xf numFmtId="0" fontId="72" fillId="0" borderId="11" xfId="0" applyFont="1" applyFill="1" applyBorder="1"/>
    <xf numFmtId="0" fontId="72" fillId="0" borderId="1" xfId="0" applyFont="1" applyFill="1" applyBorder="1"/>
    <xf numFmtId="13" fontId="72" fillId="0" borderId="1" xfId="2" applyNumberFormat="1" applyFont="1" applyFill="1" applyBorder="1" applyAlignment="1">
      <alignment horizontal="right"/>
    </xf>
    <xf numFmtId="165" fontId="56" fillId="0" borderId="1" xfId="0" applyNumberFormat="1" applyFont="1" applyFill="1" applyBorder="1"/>
    <xf numFmtId="0" fontId="72" fillId="0" borderId="12" xfId="0" applyFont="1" applyFill="1" applyBorder="1"/>
    <xf numFmtId="0" fontId="70" fillId="0" borderId="1" xfId="0" applyFont="1" applyFill="1" applyBorder="1" applyAlignment="1">
      <alignment horizontal="left"/>
    </xf>
    <xf numFmtId="165" fontId="69" fillId="0" borderId="1" xfId="2" applyFont="1" applyFill="1" applyBorder="1" applyAlignment="1">
      <alignment horizontal="left"/>
    </xf>
    <xf numFmtId="0" fontId="69" fillId="0" borderId="1" xfId="0" applyFont="1" applyFill="1" applyBorder="1" applyAlignment="1">
      <alignment horizontal="left"/>
    </xf>
    <xf numFmtId="9" fontId="69" fillId="0" borderId="1" xfId="1" applyFont="1" applyFill="1" applyBorder="1" applyAlignment="1">
      <alignment horizontal="center"/>
    </xf>
    <xf numFmtId="169" fontId="69" fillId="0" borderId="1" xfId="2" applyNumberFormat="1" applyFont="1" applyFill="1" applyBorder="1" applyAlignment="1">
      <alignment horizontal="center"/>
    </xf>
    <xf numFmtId="0" fontId="69" fillId="0" borderId="1" xfId="0" applyFont="1" applyFill="1" applyBorder="1"/>
    <xf numFmtId="165" fontId="69" fillId="0" borderId="1" xfId="2" applyFont="1" applyBorder="1"/>
    <xf numFmtId="169" fontId="27" fillId="6" borderId="1" xfId="0" applyNumberFormat="1" applyFont="1" applyFill="1" applyBorder="1"/>
    <xf numFmtId="165" fontId="27" fillId="0" borderId="1" xfId="2" applyNumberFormat="1" applyFont="1" applyBorder="1"/>
    <xf numFmtId="165" fontId="27" fillId="0" borderId="1" xfId="0" applyNumberFormat="1" applyFont="1" applyBorder="1"/>
    <xf numFmtId="165" fontId="27" fillId="6" borderId="1" xfId="0" applyNumberFormat="1" applyFont="1" applyFill="1" applyBorder="1"/>
    <xf numFmtId="165"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5" fontId="77" fillId="0" borderId="1" xfId="2" applyFont="1" applyBorder="1" applyAlignment="1">
      <alignment wrapText="1"/>
    </xf>
    <xf numFmtId="0" fontId="78" fillId="0" borderId="1" xfId="0" applyFont="1" applyBorder="1" applyAlignment="1">
      <alignment wrapText="1"/>
    </xf>
    <xf numFmtId="0" fontId="77" fillId="0" borderId="0" xfId="0" applyFont="1" applyBorder="1" applyAlignment="1">
      <alignment wrapText="1"/>
    </xf>
    <xf numFmtId="165" fontId="77" fillId="0" borderId="0" xfId="2" applyFont="1" applyBorder="1" applyAlignment="1">
      <alignment wrapText="1"/>
    </xf>
    <xf numFmtId="0" fontId="77" fillId="0" borderId="1" xfId="0" applyFont="1" applyFill="1" applyBorder="1" applyAlignment="1">
      <alignment wrapText="1"/>
    </xf>
    <xf numFmtId="165" fontId="77" fillId="0" borderId="1" xfId="2" applyFont="1" applyFill="1" applyBorder="1" applyAlignment="1">
      <alignment wrapText="1"/>
    </xf>
    <xf numFmtId="0" fontId="77" fillId="0" borderId="0" xfId="0" applyFont="1" applyFill="1" applyBorder="1" applyAlignment="1">
      <alignment wrapText="1"/>
    </xf>
    <xf numFmtId="165" fontId="77" fillId="0" borderId="0" xfId="2" applyFont="1" applyFill="1" applyBorder="1" applyAlignment="1">
      <alignment wrapText="1"/>
    </xf>
    <xf numFmtId="165" fontId="76" fillId="0" borderId="0" xfId="0" applyNumberFormat="1" applyFont="1" applyFill="1" applyBorder="1" applyAlignment="1">
      <alignment wrapText="1"/>
    </xf>
    <xf numFmtId="0" fontId="80" fillId="0" borderId="0" xfId="0" applyFont="1"/>
    <xf numFmtId="43" fontId="41" fillId="6" borderId="1" xfId="3" applyNumberFormat="1" applyFont="1" applyFill="1" applyBorder="1" applyAlignment="1">
      <alignment horizontal="right" vertical="center" wrapText="1"/>
    </xf>
    <xf numFmtId="43" fontId="40" fillId="2" borderId="1" xfId="0" applyNumberFormat="1" applyFont="1" applyFill="1" applyBorder="1" applyAlignment="1">
      <alignment horizontal="center" vertical="center" wrapText="1"/>
    </xf>
    <xf numFmtId="43" fontId="29" fillId="0" borderId="1" xfId="3" applyNumberFormat="1" applyFont="1" applyFill="1" applyBorder="1" applyAlignment="1">
      <alignment horizontal="right" vertical="center" wrapText="1"/>
    </xf>
    <xf numFmtId="43" fontId="29" fillId="6" borderId="1" xfId="2" applyNumberFormat="1" applyFont="1" applyFill="1" applyBorder="1" applyAlignment="1">
      <alignment horizontal="right" vertical="center" wrapText="1"/>
    </xf>
    <xf numFmtId="43" fontId="28" fillId="0" borderId="1" xfId="3" applyNumberFormat="1" applyFont="1" applyBorder="1" applyAlignment="1">
      <alignment horizontal="right" vertical="center" wrapText="1"/>
    </xf>
    <xf numFmtId="43" fontId="42" fillId="6" borderId="1" xfId="3" applyNumberFormat="1" applyFont="1" applyFill="1" applyBorder="1" applyAlignment="1">
      <alignment horizontal="right" vertical="center" wrapText="1"/>
    </xf>
    <xf numFmtId="43" fontId="42" fillId="0" borderId="1" xfId="3" applyNumberFormat="1" applyFont="1" applyFill="1" applyBorder="1" applyAlignment="1">
      <alignment horizontal="right" vertical="center" wrapText="1"/>
    </xf>
    <xf numFmtId="43" fontId="41" fillId="6" borderId="10" xfId="3" applyNumberFormat="1" applyFont="1" applyFill="1" applyBorder="1" applyAlignment="1">
      <alignment horizontal="right" vertical="center" wrapText="1"/>
    </xf>
    <xf numFmtId="43" fontId="42" fillId="6" borderId="10" xfId="3" applyNumberFormat="1"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5"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0" fontId="72" fillId="0" borderId="1" xfId="0" applyFont="1" applyBorder="1" applyAlignment="1">
      <alignment wrapText="1"/>
    </xf>
    <xf numFmtId="165" fontId="21" fillId="2" borderId="1" xfId="0" applyNumberFormat="1" applyFont="1" applyFill="1" applyBorder="1"/>
    <xf numFmtId="165" fontId="21" fillId="2" borderId="1" xfId="0" applyNumberFormat="1" applyFont="1" applyFill="1" applyBorder="1" applyAlignment="1">
      <alignment horizontal="center"/>
    </xf>
    <xf numFmtId="165" fontId="28" fillId="0" borderId="1" xfId="0" applyNumberFormat="1" applyFont="1" applyBorder="1"/>
    <xf numFmtId="165" fontId="28" fillId="0" borderId="1" xfId="2" applyNumberFormat="1" applyFont="1" applyBorder="1"/>
    <xf numFmtId="165" fontId="27" fillId="0" borderId="1" xfId="0" applyNumberFormat="1" applyFont="1" applyFill="1" applyBorder="1"/>
    <xf numFmtId="165" fontId="27" fillId="0" borderId="0" xfId="2" applyNumberFormat="1" applyFont="1"/>
    <xf numFmtId="165" fontId="45" fillId="0" borderId="0" xfId="0" applyNumberFormat="1" applyFont="1"/>
    <xf numFmtId="0" fontId="71" fillId="12" borderId="0" xfId="0" applyFont="1" applyFill="1" applyBorder="1" applyAlignment="1">
      <alignment horizontal="center"/>
    </xf>
    <xf numFmtId="0" fontId="72" fillId="0" borderId="0" xfId="0" applyFont="1" applyBorder="1"/>
    <xf numFmtId="165" fontId="72" fillId="0" borderId="0" xfId="2" applyFont="1" applyBorder="1"/>
    <xf numFmtId="1" fontId="72" fillId="0" borderId="0" xfId="0" applyNumberFormat="1" applyFont="1" applyBorder="1"/>
    <xf numFmtId="165" fontId="56" fillId="0" borderId="0" xfId="2" applyFont="1" applyBorder="1"/>
    <xf numFmtId="169" fontId="69" fillId="0" borderId="1" xfId="0" applyNumberFormat="1" applyFont="1" applyBorder="1"/>
    <xf numFmtId="169" fontId="70" fillId="0" borderId="1" xfId="0" applyNumberFormat="1" applyFont="1" applyBorder="1"/>
    <xf numFmtId="0" fontId="71" fillId="4" borderId="0" xfId="0" applyFont="1" applyFill="1" applyBorder="1" applyAlignment="1">
      <alignment horizontal="center"/>
    </xf>
    <xf numFmtId="0" fontId="69" fillId="4" borderId="0" xfId="0" applyFont="1" applyFill="1" applyBorder="1"/>
    <xf numFmtId="0" fontId="72" fillId="4" borderId="0" xfId="0" applyFont="1" applyFill="1" applyBorder="1"/>
    <xf numFmtId="1" fontId="72" fillId="4" borderId="0" xfId="0" applyNumberFormat="1" applyFont="1" applyFill="1" applyBorder="1"/>
    <xf numFmtId="169" fontId="69" fillId="4" borderId="0" xfId="0" applyNumberFormat="1" applyFont="1" applyFill="1" applyBorder="1"/>
    <xf numFmtId="165" fontId="70" fillId="4" borderId="0" xfId="0" applyNumberFormat="1" applyFont="1" applyFill="1" applyBorder="1"/>
    <xf numFmtId="165" fontId="56" fillId="4" borderId="0" xfId="2" applyFont="1" applyFill="1" applyBorder="1"/>
    <xf numFmtId="165" fontId="69" fillId="0" borderId="0" xfId="0" applyNumberFormat="1" applyFont="1"/>
    <xf numFmtId="165" fontId="56" fillId="0" borderId="1" xfId="0" applyNumberFormat="1" applyFont="1" applyBorder="1" applyAlignment="1">
      <alignment horizontal="center"/>
    </xf>
    <xf numFmtId="165" fontId="56" fillId="0" borderId="1" xfId="0" applyNumberFormat="1" applyFont="1" applyBorder="1" applyAlignment="1">
      <alignment horizontal="right"/>
    </xf>
    <xf numFmtId="165" fontId="69" fillId="0" borderId="1" xfId="2" applyNumberFormat="1" applyFont="1" applyBorder="1"/>
    <xf numFmtId="165" fontId="70" fillId="0" borderId="1" xfId="2" applyNumberFormat="1" applyFont="1" applyBorder="1"/>
    <xf numFmtId="165" fontId="70" fillId="0" borderId="0" xfId="0" applyNumberFormat="1" applyFont="1"/>
    <xf numFmtId="165" fontId="2" fillId="0" borderId="0" xfId="0" applyNumberFormat="1" applyFont="1" applyAlignment="1">
      <alignment horizontal="center"/>
    </xf>
    <xf numFmtId="165" fontId="28" fillId="0" borderId="0" xfId="0" applyNumberFormat="1" applyFont="1" applyAlignment="1">
      <alignment horizontal="center"/>
    </xf>
    <xf numFmtId="165" fontId="27" fillId="0" borderId="1" xfId="1" applyNumberFormat="1" applyFont="1" applyBorder="1"/>
    <xf numFmtId="165" fontId="0" fillId="0" borderId="1" xfId="0" applyNumberFormat="1" applyBorder="1"/>
    <xf numFmtId="165" fontId="71" fillId="0" borderId="1" xfId="0" applyNumberFormat="1" applyFont="1" applyFill="1" applyBorder="1" applyAlignment="1">
      <alignment horizontal="center"/>
    </xf>
    <xf numFmtId="165" fontId="72" fillId="0" borderId="1" xfId="2" applyNumberFormat="1" applyFont="1" applyBorder="1"/>
    <xf numFmtId="165" fontId="56" fillId="0" borderId="1" xfId="2" applyNumberFormat="1" applyFont="1" applyBorder="1"/>
    <xf numFmtId="165" fontId="0" fillId="13" borderId="0" xfId="0" applyNumberFormat="1" applyFill="1"/>
    <xf numFmtId="165" fontId="73" fillId="12" borderId="20" xfId="0" applyNumberFormat="1" applyFont="1" applyFill="1" applyBorder="1"/>
    <xf numFmtId="165" fontId="72" fillId="0" borderId="0" xfId="0" applyNumberFormat="1" applyFont="1" applyFill="1" applyBorder="1"/>
    <xf numFmtId="165" fontId="72" fillId="0" borderId="13" xfId="0" applyNumberFormat="1" applyFont="1" applyFill="1" applyBorder="1"/>
    <xf numFmtId="165" fontId="69" fillId="0" borderId="1" xfId="2" applyNumberFormat="1" applyFont="1" applyFill="1" applyBorder="1" applyAlignment="1">
      <alignment horizontal="left"/>
    </xf>
    <xf numFmtId="165" fontId="69" fillId="0" borderId="1" xfId="1" applyNumberFormat="1" applyFont="1" applyFill="1" applyBorder="1" applyAlignment="1">
      <alignment horizontal="center"/>
    </xf>
    <xf numFmtId="165" fontId="69" fillId="0" borderId="1" xfId="2" applyNumberFormat="1" applyFont="1" applyFill="1" applyBorder="1" applyAlignment="1">
      <alignment horizontal="center"/>
    </xf>
    <xf numFmtId="165" fontId="71" fillId="12" borderId="0" xfId="0" applyNumberFormat="1" applyFont="1" applyFill="1" applyBorder="1" applyAlignment="1">
      <alignment horizontal="center"/>
    </xf>
    <xf numFmtId="165" fontId="0" fillId="0" borderId="0" xfId="0" applyNumberFormat="1" applyBorder="1"/>
    <xf numFmtId="165" fontId="72" fillId="0" borderId="0" xfId="0" applyNumberFormat="1" applyFont="1" applyBorder="1"/>
    <xf numFmtId="165" fontId="72" fillId="0" borderId="0" xfId="2" applyNumberFormat="1" applyFont="1" applyBorder="1"/>
    <xf numFmtId="165" fontId="56" fillId="0" borderId="0" xfId="2" applyNumberFormat="1" applyFont="1" applyBorder="1"/>
    <xf numFmtId="165" fontId="71" fillId="4" borderId="0" xfId="0" applyNumberFormat="1" applyFont="1" applyFill="1" applyBorder="1" applyAlignment="1">
      <alignment horizontal="center"/>
    </xf>
    <xf numFmtId="165" fontId="69" fillId="4" borderId="0" xfId="0" applyNumberFormat="1" applyFont="1" applyFill="1" applyBorder="1"/>
    <xf numFmtId="165" fontId="72" fillId="4" borderId="0" xfId="0" applyNumberFormat="1" applyFont="1" applyFill="1" applyBorder="1"/>
    <xf numFmtId="165" fontId="56" fillId="4" borderId="0" xfId="2" applyNumberFormat="1" applyFont="1" applyFill="1" applyBorder="1"/>
    <xf numFmtId="0" fontId="77" fillId="0" borderId="1" xfId="0" applyFont="1" applyBorder="1" applyAlignment="1">
      <alignment horizontal="center" wrapText="1"/>
    </xf>
    <xf numFmtId="0" fontId="77" fillId="0" borderId="0" xfId="0" applyFont="1" applyAlignment="1">
      <alignment wrapText="1"/>
    </xf>
    <xf numFmtId="0" fontId="78" fillId="0" borderId="1" xfId="0" applyFont="1" applyBorder="1" applyAlignment="1">
      <alignment horizontal="center" wrapText="1"/>
    </xf>
    <xf numFmtId="165" fontId="78" fillId="0" borderId="1" xfId="2" applyFont="1" applyBorder="1" applyAlignment="1">
      <alignment horizontal="right" wrapText="1"/>
    </xf>
    <xf numFmtId="0" fontId="78" fillId="0" borderId="1" xfId="0" applyFont="1" applyFill="1" applyBorder="1" applyAlignment="1">
      <alignment horizontal="center" wrapText="1"/>
    </xf>
    <xf numFmtId="165" fontId="78" fillId="0" borderId="1" xfId="2" applyFont="1" applyBorder="1" applyAlignment="1">
      <alignment wrapText="1"/>
    </xf>
    <xf numFmtId="0" fontId="0" fillId="0" borderId="11" xfId="0" applyBorder="1"/>
    <xf numFmtId="0" fontId="0" fillId="0" borderId="11" xfId="0" applyFill="1" applyBorder="1"/>
    <xf numFmtId="43" fontId="0" fillId="0" borderId="0" xfId="1" applyNumberFormat="1" applyFont="1"/>
    <xf numFmtId="43" fontId="77" fillId="0" borderId="1" xfId="0" applyNumberFormat="1" applyFont="1" applyBorder="1" applyAlignment="1">
      <alignment wrapText="1"/>
    </xf>
    <xf numFmtId="43" fontId="15" fillId="0" borderId="0" xfId="6" applyNumberFormat="1" applyFont="1" applyFill="1" applyBorder="1" applyAlignment="1">
      <alignment horizontal="center"/>
    </xf>
    <xf numFmtId="43" fontId="21" fillId="2" borderId="1" xfId="0" applyNumberFormat="1" applyFont="1" applyFill="1" applyBorder="1" applyAlignment="1">
      <alignment horizontal="center" wrapText="1"/>
    </xf>
    <xf numFmtId="43" fontId="27" fillId="0" borderId="1" xfId="0" applyNumberFormat="1" applyFont="1" applyFill="1" applyBorder="1"/>
    <xf numFmtId="43" fontId="39" fillId="0" borderId="1" xfId="0" applyNumberFormat="1" applyFont="1" applyFill="1" applyBorder="1" applyAlignment="1">
      <alignment horizontal="center"/>
    </xf>
    <xf numFmtId="43" fontId="29" fillId="0" borderId="1" xfId="0" applyNumberFormat="1" applyFont="1" applyFill="1" applyBorder="1"/>
    <xf numFmtId="43" fontId="30" fillId="0" borderId="1" xfId="0" applyNumberFormat="1" applyFont="1" applyFill="1" applyBorder="1"/>
    <xf numFmtId="43" fontId="29" fillId="0" borderId="0" xfId="0" applyNumberFormat="1" applyFont="1" applyFill="1" applyBorder="1"/>
    <xf numFmtId="43" fontId="27" fillId="0" borderId="0" xfId="0" applyNumberFormat="1" applyFont="1"/>
    <xf numFmtId="43" fontId="6" fillId="0" borderId="0" xfId="0" applyNumberFormat="1" applyFont="1" applyFill="1" applyBorder="1"/>
    <xf numFmtId="43" fontId="4" fillId="0" borderId="0" xfId="1" applyNumberFormat="1" applyFont="1" applyBorder="1"/>
    <xf numFmtId="43" fontId="27" fillId="0" borderId="0" xfId="0" applyNumberFormat="1" applyFont="1" applyFill="1" applyBorder="1"/>
    <xf numFmtId="43" fontId="27" fillId="0" borderId="0" xfId="1" applyNumberFormat="1" applyFont="1"/>
    <xf numFmtId="43" fontId="17" fillId="0" borderId="0" xfId="0" applyNumberFormat="1" applyFont="1"/>
    <xf numFmtId="43" fontId="24" fillId="5" borderId="1" xfId="3" applyNumberFormat="1" applyFont="1" applyFill="1" applyBorder="1" applyAlignment="1">
      <alignment horizontal="center"/>
    </xf>
    <xf numFmtId="43" fontId="29" fillId="0" borderId="1" xfId="3" applyNumberFormat="1" applyFont="1" applyFill="1" applyBorder="1"/>
    <xf numFmtId="43" fontId="30" fillId="0" borderId="1" xfId="0" applyNumberFormat="1" applyFont="1" applyBorder="1"/>
    <xf numFmtId="43" fontId="17" fillId="0" borderId="0" xfId="3" applyNumberFormat="1" applyFont="1" applyFill="1" applyBorder="1"/>
    <xf numFmtId="43" fontId="17" fillId="0" borderId="0" xfId="0" applyNumberFormat="1" applyFont="1" applyFill="1" applyBorder="1"/>
    <xf numFmtId="43" fontId="15" fillId="0" borderId="0" xfId="6" applyNumberFormat="1" applyFont="1" applyFill="1" applyBorder="1" applyAlignment="1"/>
    <xf numFmtId="43" fontId="21" fillId="2" borderId="1" xfId="0" applyNumberFormat="1" applyFont="1" applyFill="1" applyBorder="1" applyAlignment="1">
      <alignment horizontal="center"/>
    </xf>
    <xf numFmtId="43" fontId="14" fillId="0" borderId="0" xfId="0" applyNumberFormat="1" applyFont="1" applyFill="1" applyBorder="1"/>
    <xf numFmtId="43" fontId="14" fillId="0" borderId="0" xfId="9" applyNumberFormat="1" applyFont="1" applyFill="1" applyBorder="1" applyAlignment="1">
      <alignment vertical="center"/>
    </xf>
    <xf numFmtId="43" fontId="77" fillId="0" borderId="0" xfId="0" applyNumberFormat="1" applyFont="1" applyFill="1" applyBorder="1" applyAlignment="1">
      <alignment wrapText="1"/>
    </xf>
    <xf numFmtId="43" fontId="77" fillId="0" borderId="0" xfId="2" applyNumberFormat="1" applyFont="1" applyFill="1" applyBorder="1" applyAlignment="1">
      <alignment wrapText="1"/>
    </xf>
    <xf numFmtId="43" fontId="76" fillId="0" borderId="0" xfId="0" applyNumberFormat="1" applyFont="1" applyFill="1" applyBorder="1" applyAlignment="1">
      <alignment wrapText="1"/>
    </xf>
    <xf numFmtId="43" fontId="0" fillId="0" borderId="0" xfId="0" applyNumberFormat="1" applyFill="1"/>
    <xf numFmtId="43" fontId="14" fillId="0" borderId="0" xfId="0" applyNumberFormat="1" applyFont="1"/>
    <xf numFmtId="2" fontId="27" fillId="7" borderId="1" xfId="0" applyNumberFormat="1" applyFont="1" applyFill="1" applyBorder="1"/>
    <xf numFmtId="165" fontId="41" fillId="0" borderId="1" xfId="2" applyNumberFormat="1" applyFont="1" applyFill="1" applyBorder="1" applyAlignment="1">
      <alignment horizontal="right" vertical="center" wrapText="1"/>
    </xf>
    <xf numFmtId="165" fontId="42" fillId="0" borderId="1" xfId="2" applyNumberFormat="1"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2"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5" fontId="43" fillId="2" borderId="1" xfId="0" applyNumberFormat="1" applyFont="1" applyFill="1" applyBorder="1" applyAlignment="1">
      <alignment horizontal="center" vertical="center" wrapText="1"/>
    </xf>
    <xf numFmtId="165" fontId="43" fillId="2" borderId="22" xfId="0" applyNumberFormat="1" applyFont="1" applyFill="1" applyBorder="1" applyAlignment="1">
      <alignment horizontal="center" vertical="center" wrapText="1"/>
    </xf>
    <xf numFmtId="165" fontId="44" fillId="0" borderId="1" xfId="2" applyNumberFormat="1" applyFont="1" applyBorder="1" applyAlignment="1">
      <alignment vertical="center" wrapText="1"/>
    </xf>
    <xf numFmtId="165" fontId="60" fillId="7" borderId="1" xfId="0" applyNumberFormat="1" applyFont="1" applyFill="1" applyBorder="1"/>
    <xf numFmtId="165" fontId="60" fillId="0" borderId="1" xfId="0" applyNumberFormat="1" applyFont="1" applyBorder="1"/>
    <xf numFmtId="165" fontId="59" fillId="0" borderId="1" xfId="2" applyNumberFormat="1" applyFont="1" applyBorder="1" applyAlignment="1">
      <alignment horizontal="center" vertical="center" wrapText="1"/>
    </xf>
    <xf numFmtId="165" fontId="44" fillId="0" borderId="1" xfId="3" applyNumberFormat="1" applyFont="1" applyFill="1" applyBorder="1" applyAlignment="1">
      <alignment horizontal="right" vertical="center" wrapText="1"/>
    </xf>
    <xf numFmtId="165" fontId="59" fillId="0" borderId="1" xfId="3" applyNumberFormat="1" applyFont="1" applyBorder="1" applyAlignment="1">
      <alignment horizontal="right" vertical="center" wrapText="1"/>
    </xf>
    <xf numFmtId="165" fontId="43" fillId="5" borderId="1" xfId="0" applyNumberFormat="1" applyFont="1" applyFill="1" applyBorder="1" applyAlignment="1">
      <alignment horizontal="center" vertical="center"/>
    </xf>
    <xf numFmtId="165" fontId="43" fillId="5" borderId="1" xfId="0" applyNumberFormat="1" applyFont="1" applyFill="1" applyBorder="1" applyAlignment="1">
      <alignment horizontal="center" vertical="center" wrapText="1"/>
    </xf>
    <xf numFmtId="165" fontId="44" fillId="0" borderId="1" xfId="0" applyNumberFormat="1" applyFont="1" applyBorder="1" applyAlignment="1">
      <alignment horizontal="center" vertical="center" wrapText="1"/>
    </xf>
    <xf numFmtId="165" fontId="44" fillId="0" borderId="1" xfId="0" applyNumberFormat="1" applyFont="1" applyFill="1" applyBorder="1" applyAlignment="1">
      <alignment horizontal="left" vertical="center" wrapText="1"/>
    </xf>
    <xf numFmtId="165" fontId="12" fillId="0" borderId="1" xfId="0" applyNumberFormat="1" applyFont="1" applyBorder="1" applyAlignment="1">
      <alignment horizontal="center" vertical="center" wrapText="1"/>
    </xf>
    <xf numFmtId="165" fontId="4" fillId="0" borderId="1" xfId="3" applyNumberFormat="1" applyFont="1" applyFill="1" applyBorder="1" applyAlignment="1">
      <alignment wrapText="1"/>
    </xf>
    <xf numFmtId="165" fontId="6" fillId="0" borderId="1" xfId="3" applyNumberFormat="1" applyFont="1" applyFill="1" applyBorder="1" applyAlignment="1">
      <alignment wrapText="1"/>
    </xf>
    <xf numFmtId="165" fontId="4" fillId="0" borderId="1" xfId="0" applyNumberFormat="1" applyFont="1" applyFill="1" applyBorder="1" applyAlignment="1">
      <alignment wrapText="1"/>
    </xf>
    <xf numFmtId="165" fontId="4" fillId="0" borderId="1" xfId="2" applyNumberFormat="1" applyFont="1" applyFill="1" applyBorder="1" applyAlignment="1">
      <alignment wrapText="1"/>
    </xf>
    <xf numFmtId="165" fontId="4" fillId="4" borderId="1" xfId="3" applyNumberFormat="1" applyFont="1" applyFill="1" applyBorder="1" applyAlignment="1">
      <alignment wrapText="1"/>
    </xf>
    <xf numFmtId="165" fontId="6" fillId="0" borderId="1" xfId="0" applyNumberFormat="1" applyFont="1" applyFill="1" applyBorder="1" applyAlignment="1">
      <alignment wrapText="1"/>
    </xf>
    <xf numFmtId="0" fontId="6" fillId="0" borderId="15" xfId="0" applyFont="1" applyFill="1" applyBorder="1" applyAlignment="1">
      <alignment horizontal="center"/>
    </xf>
    <xf numFmtId="43" fontId="21" fillId="0" borderId="0" xfId="0" applyNumberFormat="1" applyFont="1" applyFill="1" applyBorder="1" applyAlignment="1">
      <alignment horizontal="center" wrapText="1"/>
    </xf>
    <xf numFmtId="43" fontId="0" fillId="0" borderId="0" xfId="0" applyNumberFormat="1" applyFill="1" applyBorder="1"/>
    <xf numFmtId="165" fontId="72" fillId="6" borderId="1" xfId="2" applyFont="1" applyFill="1" applyBorder="1"/>
    <xf numFmtId="165" fontId="69" fillId="6" borderId="1" xfId="0" applyNumberFormat="1" applyFont="1" applyFill="1" applyBorder="1"/>
    <xf numFmtId="4" fontId="27" fillId="0" borderId="1" xfId="0" applyNumberFormat="1" applyFont="1" applyBorder="1"/>
    <xf numFmtId="4" fontId="27" fillId="0" borderId="1" xfId="2" applyNumberFormat="1" applyFont="1" applyBorder="1"/>
    <xf numFmtId="165" fontId="4" fillId="0" borderId="1" xfId="2" applyNumberFormat="1" applyFont="1" applyBorder="1" applyAlignment="1">
      <alignment horizontal="center"/>
    </xf>
    <xf numFmtId="165" fontId="29" fillId="0" borderId="1" xfId="0" applyNumberFormat="1" applyFont="1" applyFill="1" applyBorder="1" applyAlignment="1">
      <alignment horizontal="center"/>
    </xf>
    <xf numFmtId="165" fontId="0" fillId="0" borderId="1" xfId="0" applyNumberFormat="1" applyFont="1" applyBorder="1"/>
    <xf numFmtId="165" fontId="0" fillId="0" borderId="1" xfId="2" applyNumberFormat="1" applyFont="1" applyBorder="1"/>
    <xf numFmtId="165" fontId="0" fillId="0" borderId="1" xfId="2" applyNumberFormat="1" applyFont="1" applyBorder="1" applyAlignment="1"/>
    <xf numFmtId="165" fontId="0" fillId="0" borderId="1" xfId="0" applyNumberFormat="1" applyFont="1" applyBorder="1" applyAlignment="1">
      <alignment horizontal="center" vertical="center"/>
    </xf>
    <xf numFmtId="165" fontId="2" fillId="0" borderId="1" xfId="2" applyNumberFormat="1" applyFont="1" applyBorder="1" applyAlignment="1"/>
    <xf numFmtId="165" fontId="2" fillId="0" borderId="1" xfId="0" applyNumberFormat="1" applyFont="1" applyBorder="1" applyAlignment="1"/>
    <xf numFmtId="165" fontId="4" fillId="0" borderId="1" xfId="2" applyNumberFormat="1" applyFont="1" applyFill="1" applyBorder="1"/>
    <xf numFmtId="165" fontId="6" fillId="0" borderId="1" xfId="2" applyNumberFormat="1" applyFont="1" applyFill="1" applyBorder="1"/>
    <xf numFmtId="165" fontId="4" fillId="0" borderId="0" xfId="10" applyNumberFormat="1" applyFont="1" applyFill="1"/>
    <xf numFmtId="165" fontId="21" fillId="5" borderId="1" xfId="0" applyNumberFormat="1" applyFont="1" applyFill="1" applyBorder="1" applyAlignment="1">
      <alignment horizontal="center"/>
    </xf>
    <xf numFmtId="165" fontId="4" fillId="0" borderId="1" xfId="10" applyNumberFormat="1" applyFont="1" applyFill="1" applyBorder="1"/>
    <xf numFmtId="1" fontId="0" fillId="0" borderId="0" xfId="0" applyNumberFormat="1"/>
    <xf numFmtId="165" fontId="0" fillId="0" borderId="1" xfId="2" applyFont="1" applyBorder="1"/>
    <xf numFmtId="0" fontId="6" fillId="0" borderId="0" xfId="0" applyFont="1" applyFill="1" applyBorder="1" applyAlignment="1">
      <alignment horizontal="left" wrapText="1"/>
    </xf>
    <xf numFmtId="165" fontId="6" fillId="0" borderId="0" xfId="0" applyNumberFormat="1" applyFont="1" applyFill="1" applyBorder="1" applyAlignment="1">
      <alignment wrapText="1"/>
    </xf>
    <xf numFmtId="165" fontId="27" fillId="0" borderId="1" xfId="2" applyNumberFormat="1" applyFont="1" applyFill="1" applyBorder="1"/>
    <xf numFmtId="165" fontId="0" fillId="0" borderId="0" xfId="0" applyNumberFormat="1" applyFill="1"/>
    <xf numFmtId="165" fontId="28" fillId="0" borderId="1" xfId="2" applyNumberFormat="1" applyFont="1" applyFill="1" applyBorder="1"/>
    <xf numFmtId="165" fontId="27" fillId="0" borderId="0" xfId="0" applyNumberFormat="1" applyFont="1" applyFill="1"/>
    <xf numFmtId="165" fontId="77" fillId="0" borderId="1" xfId="0" applyNumberFormat="1" applyFont="1" applyFill="1" applyBorder="1" applyAlignment="1">
      <alignment wrapText="1"/>
    </xf>
    <xf numFmtId="165" fontId="77" fillId="0" borderId="15" xfId="0" applyNumberFormat="1" applyFont="1" applyFill="1" applyBorder="1" applyAlignment="1">
      <alignment wrapText="1"/>
    </xf>
    <xf numFmtId="0" fontId="81" fillId="2" borderId="1" xfId="0" applyFont="1" applyFill="1" applyBorder="1"/>
    <xf numFmtId="165"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5" fontId="71" fillId="14" borderId="1" xfId="0" applyNumberFormat="1" applyFont="1" applyFill="1" applyBorder="1" applyAlignment="1">
      <alignment horizontal="center"/>
    </xf>
    <xf numFmtId="165" fontId="71" fillId="14" borderId="0" xfId="0" applyNumberFormat="1" applyFont="1" applyFill="1" applyBorder="1" applyAlignment="1">
      <alignment horizontal="center"/>
    </xf>
    <xf numFmtId="0" fontId="83" fillId="14" borderId="0" xfId="0" applyFont="1" applyFill="1"/>
    <xf numFmtId="0" fontId="79" fillId="14" borderId="1" xfId="0" applyFont="1" applyFill="1" applyBorder="1" applyAlignment="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5" fontId="58" fillId="14" borderId="0" xfId="0" applyNumberFormat="1" applyFont="1" applyFill="1"/>
    <xf numFmtId="10" fontId="0" fillId="0" borderId="1" xfId="1" applyNumberFormat="1" applyFont="1" applyBorder="1"/>
    <xf numFmtId="0" fontId="26" fillId="0" borderId="0" xfId="0" applyFont="1" applyBorder="1" applyAlignment="1"/>
    <xf numFmtId="0" fontId="82" fillId="0" borderId="0" xfId="0" applyFont="1" applyFill="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Border="1" applyAlignment="1">
      <alignment horizontal="right"/>
    </xf>
    <xf numFmtId="10" fontId="72" fillId="0" borderId="0" xfId="0" applyNumberFormat="1" applyFont="1" applyBorder="1"/>
    <xf numFmtId="0" fontId="69" fillId="0" borderId="0" xfId="0" applyFont="1" applyBorder="1" applyAlignment="1">
      <alignment horizontal="right" wrapText="1"/>
    </xf>
    <xf numFmtId="0" fontId="69" fillId="6" borderId="0" xfId="0" applyFont="1" applyFill="1"/>
    <xf numFmtId="0" fontId="56" fillId="0" borderId="0" xfId="0" applyFont="1" applyBorder="1"/>
    <xf numFmtId="9" fontId="56" fillId="15" borderId="1" xfId="0" applyNumberFormat="1" applyFont="1" applyFill="1" applyBorder="1" applyAlignment="1">
      <alignment horizontal="right"/>
    </xf>
    <xf numFmtId="169"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5" fontId="72" fillId="15" borderId="1" xfId="2" applyFont="1" applyFill="1" applyBorder="1"/>
    <xf numFmtId="165" fontId="69" fillId="0" borderId="0" xfId="2" applyFont="1"/>
    <xf numFmtId="169"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69" fontId="72" fillId="0" borderId="1" xfId="0" applyNumberFormat="1" applyFont="1" applyFill="1" applyBorder="1"/>
    <xf numFmtId="169" fontId="72" fillId="0" borderId="11" xfId="0" applyNumberFormat="1" applyFont="1" applyFill="1" applyBorder="1"/>
    <xf numFmtId="0" fontId="70" fillId="6" borderId="0" xfId="0" applyFont="1" applyFill="1"/>
    <xf numFmtId="169"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165" fontId="2" fillId="0" borderId="1" xfId="0" applyNumberFormat="1" applyFont="1" applyBorder="1"/>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5" fontId="2" fillId="0" borderId="0" xfId="0" applyNumberFormat="1" applyFont="1" applyBorder="1"/>
    <xf numFmtId="0" fontId="71" fillId="12" borderId="11" xfId="0" applyFont="1" applyFill="1" applyBorder="1" applyAlignment="1">
      <alignment horizontal="center"/>
    </xf>
    <xf numFmtId="0" fontId="72" fillId="0" borderId="11" xfId="0" applyFont="1" applyBorder="1"/>
    <xf numFmtId="165" fontId="72" fillId="0" borderId="11" xfId="2" applyFont="1" applyBorder="1"/>
    <xf numFmtId="165" fontId="56" fillId="0" borderId="11" xfId="2" applyFont="1" applyBorder="1"/>
    <xf numFmtId="165" fontId="2" fillId="0" borderId="11" xfId="0" applyNumberFormat="1" applyFont="1" applyBorder="1"/>
    <xf numFmtId="0" fontId="85" fillId="13" borderId="13" xfId="0" applyFont="1" applyFill="1" applyBorder="1" applyAlignment="1"/>
    <xf numFmtId="0" fontId="56" fillId="0" borderId="1" xfId="0" applyFont="1" applyFill="1" applyBorder="1" applyAlignment="1">
      <alignment wrapText="1"/>
    </xf>
    <xf numFmtId="0" fontId="53" fillId="0" borderId="0" xfId="0" applyFont="1" applyAlignment="1">
      <alignment wrapText="1"/>
    </xf>
    <xf numFmtId="0" fontId="49" fillId="0" borderId="0" xfId="0" applyFont="1" applyAlignment="1">
      <alignment wrapText="1"/>
    </xf>
    <xf numFmtId="165"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10" fontId="44" fillId="0" borderId="1" xfId="1" applyNumberFormat="1" applyFont="1" applyBorder="1" applyAlignment="1">
      <alignment horizontal="center" vertical="center" wrapText="1"/>
    </xf>
    <xf numFmtId="0" fontId="6" fillId="0" borderId="20" xfId="0" applyFont="1" applyBorder="1"/>
    <xf numFmtId="172" fontId="30" fillId="0" borderId="20" xfId="9" applyNumberFormat="1" applyFont="1" applyFill="1" applyBorder="1" applyAlignment="1">
      <alignment vertical="center"/>
    </xf>
    <xf numFmtId="0" fontId="18" fillId="0" borderId="0" xfId="0" applyFont="1" applyBorder="1"/>
    <xf numFmtId="0" fontId="14" fillId="0" borderId="0" xfId="0" applyFont="1" applyBorder="1"/>
    <xf numFmtId="0" fontId="18" fillId="0" borderId="23" xfId="0" applyFont="1" applyBorder="1"/>
    <xf numFmtId="0" fontId="17" fillId="0" borderId="23" xfId="0" applyFont="1" applyFill="1" applyBorder="1"/>
    <xf numFmtId="0" fontId="2" fillId="0" borderId="0" xfId="0" applyFont="1" applyAlignment="1">
      <alignment horizontal="center"/>
    </xf>
    <xf numFmtId="1" fontId="69" fillId="0" borderId="1" xfId="0" applyNumberFormat="1" applyFont="1" applyBorder="1"/>
    <xf numFmtId="165" fontId="0" fillId="0" borderId="0" xfId="2" applyFont="1"/>
    <xf numFmtId="2" fontId="69" fillId="0" borderId="1" xfId="0" applyNumberFormat="1" applyFont="1" applyBorder="1" applyAlignment="1">
      <alignment horizontal="center"/>
    </xf>
    <xf numFmtId="0" fontId="72" fillId="0" borderId="1" xfId="0" applyFont="1" applyBorder="1" applyAlignment="1">
      <alignment horizontal="left" indent="2"/>
    </xf>
    <xf numFmtId="165" fontId="69" fillId="0" borderId="1" xfId="0" applyNumberFormat="1" applyFont="1" applyBorder="1" applyAlignment="1">
      <alignment horizontal="left" indent="2"/>
    </xf>
    <xf numFmtId="165" fontId="56" fillId="0" borderId="11" xfId="2" applyFont="1" applyFill="1" applyBorder="1"/>
    <xf numFmtId="0" fontId="74" fillId="6" borderId="1" xfId="0" applyFont="1" applyFill="1" applyBorder="1"/>
    <xf numFmtId="0" fontId="56" fillId="6" borderId="1" xfId="0" applyFont="1" applyFill="1" applyBorder="1"/>
    <xf numFmtId="0" fontId="70" fillId="17" borderId="1" xfId="0" applyFont="1" applyFill="1" applyBorder="1"/>
    <xf numFmtId="165" fontId="27" fillId="0" borderId="1" xfId="2" applyFont="1" applyBorder="1"/>
    <xf numFmtId="165" fontId="72" fillId="0" borderId="1" xfId="2" applyFont="1" applyBorder="1" applyAlignment="1">
      <alignment horizontal="left" indent="2"/>
    </xf>
    <xf numFmtId="9" fontId="2" fillId="0" borderId="1" xfId="0" applyNumberFormat="1" applyFont="1" applyBorder="1"/>
    <xf numFmtId="2" fontId="0" fillId="0" borderId="1" xfId="0" applyNumberFormat="1" applyBorder="1"/>
    <xf numFmtId="9" fontId="0" fillId="0" borderId="1" xfId="1" applyFont="1" applyBorder="1"/>
    <xf numFmtId="169" fontId="2" fillId="0" borderId="1" xfId="2" applyNumberFormat="1" applyFont="1" applyBorder="1"/>
    <xf numFmtId="169" fontId="2" fillId="0" borderId="1" xfId="0" applyNumberFormat="1" applyFont="1" applyBorder="1"/>
    <xf numFmtId="165" fontId="56" fillId="4" borderId="0" xfId="0" applyNumberFormat="1" applyFont="1" applyFill="1" applyBorder="1" applyAlignment="1">
      <alignment horizontal="center"/>
    </xf>
    <xf numFmtId="9" fontId="44" fillId="7" borderId="1" xfId="3" applyNumberFormat="1" applyFont="1" applyFill="1" applyBorder="1" applyAlignment="1">
      <alignment horizontal="right" vertical="center" wrapText="1"/>
    </xf>
    <xf numFmtId="165" fontId="0" fillId="0" borderId="0" xfId="2" applyFont="1" applyBorder="1" applyAlignment="1">
      <alignment horizontal="center"/>
    </xf>
    <xf numFmtId="165" fontId="27" fillId="0" borderId="0" xfId="2" applyFont="1"/>
    <xf numFmtId="165" fontId="21" fillId="2" borderId="1" xfId="2" applyFont="1" applyFill="1" applyBorder="1" applyAlignment="1">
      <alignment horizontal="right"/>
    </xf>
    <xf numFmtId="165" fontId="44" fillId="0" borderId="1" xfId="2" applyFont="1" applyBorder="1" applyAlignment="1">
      <alignment horizontal="center" vertical="center" wrapText="1"/>
    </xf>
    <xf numFmtId="165" fontId="2" fillId="0" borderId="0" xfId="0" applyNumberFormat="1" applyFont="1" applyAlignment="1">
      <alignment horizontal="left" wrapText="1"/>
    </xf>
    <xf numFmtId="165" fontId="88" fillId="0" borderId="0" xfId="0" applyNumberFormat="1" applyFont="1"/>
    <xf numFmtId="165" fontId="27" fillId="0" borderId="1" xfId="0" applyNumberFormat="1" applyFont="1" applyBorder="1" applyAlignment="1">
      <alignment wrapText="1"/>
    </xf>
    <xf numFmtId="165" fontId="30" fillId="0" borderId="5" xfId="0" applyNumberFormat="1" applyFont="1" applyFill="1" applyBorder="1" applyAlignment="1">
      <alignment horizontal="left" vertical="center" wrapText="1"/>
    </xf>
    <xf numFmtId="165" fontId="29" fillId="6" borderId="1" xfId="2" applyNumberFormat="1" applyFont="1" applyFill="1" applyBorder="1" applyAlignment="1">
      <alignment vertical="center" wrapText="1"/>
    </xf>
    <xf numFmtId="0" fontId="0" fillId="0" borderId="0" xfId="0" applyAlignment="1">
      <alignment horizontal="center"/>
    </xf>
    <xf numFmtId="165" fontId="54" fillId="5" borderId="1" xfId="2" applyFont="1" applyFill="1" applyBorder="1" applyAlignment="1">
      <alignment wrapText="1"/>
    </xf>
    <xf numFmtId="0" fontId="42" fillId="6" borderId="1" xfId="0" applyFont="1" applyFill="1" applyBorder="1" applyAlignment="1">
      <alignment horizontal="center" vertical="center" wrapText="1"/>
    </xf>
    <xf numFmtId="0" fontId="0" fillId="0" borderId="24" xfId="0" applyFont="1" applyBorder="1" applyAlignment="1">
      <alignment horizontal="center" vertical="center"/>
    </xf>
    <xf numFmtId="0" fontId="0" fillId="0" borderId="25" xfId="0" applyFont="1" applyBorder="1" applyAlignment="1">
      <alignment vertical="center" wrapText="1"/>
    </xf>
    <xf numFmtId="0" fontId="0" fillId="0" borderId="0" xfId="0" applyFont="1" applyAlignment="1"/>
    <xf numFmtId="9" fontId="0" fillId="0" borderId="0" xfId="0" applyNumberFormat="1" applyFont="1"/>
    <xf numFmtId="0" fontId="91" fillId="18" borderId="27" xfId="0" applyFont="1" applyFill="1" applyBorder="1"/>
    <xf numFmtId="0" fontId="91" fillId="18" borderId="27" xfId="0" applyFont="1" applyFill="1" applyBorder="1" applyAlignment="1">
      <alignment horizontal="center"/>
    </xf>
    <xf numFmtId="0" fontId="91" fillId="0" borderId="0" xfId="0" applyFont="1" applyAlignment="1">
      <alignment horizontal="center"/>
    </xf>
    <xf numFmtId="0" fontId="0" fillId="0" borderId="27" xfId="0" applyFont="1" applyBorder="1"/>
    <xf numFmtId="0" fontId="0" fillId="19" borderId="27" xfId="0" applyFont="1" applyFill="1" applyBorder="1"/>
    <xf numFmtId="1" fontId="0" fillId="0" borderId="0" xfId="0" applyNumberFormat="1" applyFont="1"/>
    <xf numFmtId="0" fontId="92" fillId="0" borderId="27" xfId="0" applyFont="1" applyBorder="1"/>
    <xf numFmtId="0" fontId="92" fillId="0" borderId="0" xfId="0" applyFont="1"/>
    <xf numFmtId="169" fontId="92" fillId="0" borderId="0" xfId="0" applyNumberFormat="1" applyFont="1"/>
    <xf numFmtId="0" fontId="92" fillId="19" borderId="27" xfId="0" applyFont="1" applyFill="1" applyBorder="1"/>
    <xf numFmtId="170" fontId="0" fillId="0" borderId="0" xfId="0" applyNumberFormat="1" applyFont="1"/>
    <xf numFmtId="10" fontId="0" fillId="0" borderId="0" xfId="0" applyNumberFormat="1" applyFont="1"/>
    <xf numFmtId="0" fontId="91" fillId="18" borderId="27" xfId="0" applyFont="1" applyFill="1" applyBorder="1" applyAlignment="1">
      <alignment wrapText="1"/>
    </xf>
    <xf numFmtId="0" fontId="92" fillId="0" borderId="28" xfId="0" applyFont="1" applyBorder="1" applyAlignment="1">
      <alignment wrapText="1"/>
    </xf>
    <xf numFmtId="9" fontId="0" fillId="19" borderId="27" xfId="0" applyNumberFormat="1" applyFont="1" applyFill="1" applyBorder="1"/>
    <xf numFmtId="0" fontId="0" fillId="20" borderId="27" xfId="0" applyFont="1" applyFill="1" applyBorder="1"/>
    <xf numFmtId="9" fontId="0" fillId="20" borderId="27" xfId="0" applyNumberFormat="1" applyFont="1" applyFill="1" applyBorder="1"/>
    <xf numFmtId="0" fontId="92" fillId="0" borderId="24" xfId="0" applyFont="1" applyBorder="1" applyAlignment="1">
      <alignment horizontal="center" vertical="center"/>
    </xf>
    <xf numFmtId="0" fontId="0" fillId="0" borderId="29" xfId="0" applyFont="1" applyBorder="1" applyAlignment="1">
      <alignment vertical="center" wrapText="1"/>
    </xf>
    <xf numFmtId="0" fontId="0" fillId="0" borderId="24" xfId="0" applyFont="1" applyBorder="1" applyAlignment="1">
      <alignment vertical="center" wrapText="1"/>
    </xf>
    <xf numFmtId="9" fontId="91" fillId="20" borderId="27" xfId="0" applyNumberFormat="1" applyFont="1" applyFill="1" applyBorder="1"/>
    <xf numFmtId="9" fontId="91" fillId="20" borderId="27" xfId="0" applyNumberFormat="1" applyFont="1" applyFill="1" applyBorder="1" applyAlignment="1">
      <alignment horizontal="center"/>
    </xf>
    <xf numFmtId="9" fontId="94" fillId="20" borderId="27" xfId="0" applyNumberFormat="1" applyFont="1" applyFill="1" applyBorder="1"/>
    <xf numFmtId="170" fontId="94" fillId="20" borderId="27" xfId="0" applyNumberFormat="1" applyFont="1" applyFill="1" applyBorder="1"/>
    <xf numFmtId="0" fontId="0" fillId="0" borderId="0" xfId="0" applyFont="1" applyAlignment="1">
      <alignment horizontal="center"/>
    </xf>
    <xf numFmtId="165" fontId="4" fillId="0" borderId="1" xfId="2" applyNumberFormat="1" applyFont="1" applyBorder="1"/>
    <xf numFmtId="169" fontId="0" fillId="0" borderId="1" xfId="0" applyNumberFormat="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43" fontId="28" fillId="0" borderId="13" xfId="0" applyNumberFormat="1" applyFont="1" applyBorder="1" applyAlignment="1">
      <alignment horizontal="center"/>
    </xf>
    <xf numFmtId="43" fontId="2" fillId="0" borderId="13" xfId="0" applyNumberFormat="1"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0" xfId="0" applyFont="1" applyFill="1" applyAlignment="1">
      <alignment horizontal="center"/>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165" fontId="26" fillId="0" borderId="0" xfId="0" applyNumberFormat="1" applyFont="1" applyBorder="1" applyAlignment="1">
      <alignment horizontal="center"/>
    </xf>
    <xf numFmtId="165" fontId="46" fillId="0" borderId="0" xfId="0" applyNumberFormat="1" applyFont="1" applyAlignment="1">
      <alignment horizontal="left" wrapText="1"/>
    </xf>
    <xf numFmtId="165" fontId="86" fillId="0" borderId="0" xfId="0" applyNumberFormat="1" applyFont="1" applyAlignment="1">
      <alignment horizontal="left" wrapText="1"/>
    </xf>
    <xf numFmtId="165" fontId="2" fillId="0" borderId="0" xfId="0" applyNumberFormat="1" applyFont="1" applyAlignment="1">
      <alignment horizontal="left" wrapText="1"/>
    </xf>
    <xf numFmtId="0" fontId="26" fillId="0" borderId="17" xfId="0" applyFont="1" applyBorder="1" applyAlignment="1">
      <alignment horizontal="center"/>
    </xf>
    <xf numFmtId="0" fontId="48" fillId="0" borderId="0" xfId="0" applyFont="1" applyAlignment="1">
      <alignment horizontal="center" wrapText="1"/>
    </xf>
    <xf numFmtId="0" fontId="93" fillId="0" borderId="30" xfId="0" applyFont="1" applyBorder="1" applyAlignment="1">
      <alignment horizontal="center"/>
    </xf>
    <xf numFmtId="0" fontId="90" fillId="0" borderId="31" xfId="0" applyFont="1" applyBorder="1"/>
    <xf numFmtId="0" fontId="90" fillId="0" borderId="32" xfId="0" applyFont="1" applyBorder="1"/>
    <xf numFmtId="0" fontId="91" fillId="18" borderId="25" xfId="0" applyFont="1" applyFill="1" applyBorder="1" applyAlignment="1">
      <alignment horizontal="left" vertical="center"/>
    </xf>
    <xf numFmtId="0" fontId="90" fillId="0" borderId="24" xfId="0" applyFont="1" applyBorder="1"/>
    <xf numFmtId="0" fontId="94" fillId="18" borderId="25" xfId="0" applyFont="1" applyFill="1" applyBorder="1" applyAlignment="1">
      <alignment horizontal="left" vertical="center"/>
    </xf>
    <xf numFmtId="0" fontId="89" fillId="0" borderId="0" xfId="0" applyFont="1" applyAlignment="1">
      <alignment horizontal="center"/>
    </xf>
    <xf numFmtId="0" fontId="0" fillId="0" borderId="0" xfId="0" applyFont="1" applyAlignment="1"/>
    <xf numFmtId="0" fontId="89" fillId="0" borderId="26" xfId="0" applyFont="1" applyBorder="1" applyAlignment="1">
      <alignment horizontal="center"/>
    </xf>
    <xf numFmtId="0" fontId="90" fillId="0" borderId="26" xfId="0" applyFont="1" applyBorder="1"/>
    <xf numFmtId="0" fontId="0" fillId="0" borderId="25" xfId="0" applyFont="1" applyBorder="1" applyAlignment="1">
      <alignment horizontal="center" vertical="center"/>
    </xf>
    <xf numFmtId="0" fontId="90" fillId="0" borderId="29" xfId="0" applyFont="1" applyBorder="1"/>
    <xf numFmtId="0" fontId="92" fillId="0" borderId="25" xfId="0" applyFont="1" applyBorder="1" applyAlignment="1">
      <alignment horizontal="center" vertical="center" wrapText="1"/>
    </xf>
    <xf numFmtId="0" fontId="0" fillId="0" borderId="0" xfId="0" applyFont="1" applyAlignment="1">
      <alignment horizontal="center"/>
    </xf>
    <xf numFmtId="0" fontId="89" fillId="0" borderId="30" xfId="0" applyFont="1" applyBorder="1" applyAlignment="1">
      <alignment horizontal="center"/>
    </xf>
    <xf numFmtId="0" fontId="91" fillId="18" borderId="25" xfId="0" applyFont="1" applyFill="1" applyBorder="1" applyAlignment="1">
      <alignment vertical="center"/>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26" fillId="0" borderId="13" xfId="0" applyFont="1" applyBorder="1" applyAlignment="1">
      <alignment horizont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26" fillId="0" borderId="0" xfId="0" applyFont="1" applyFill="1" applyBorder="1" applyAlignment="1">
      <alignment horizontal="center"/>
    </xf>
    <xf numFmtId="0" fontId="83" fillId="14" borderId="13" xfId="0" applyFont="1" applyFill="1" applyBorder="1" applyAlignment="1">
      <alignment horizontal="left"/>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externalLink" Target="externalLinks/externalLink2.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externalLink" Target="externalLinks/externalLink4.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3.xml" /><Relationship Id="rId27" Type="http://schemas.openxmlformats.org/officeDocument/2006/relationships/calcChain" Target="calcChain.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uskar/Desktop/BTB%20FPCL%20Financials%20final%20(1).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siness%20calculator%20-Pongezhara%20OLD.xlsx"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y%20Drive/RAHANGDALE%20Sir/DPR/Business%20calculator%20(1)%20All.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0.Grain Production details"/>
      <sheetName val="8.Cash Flow "/>
      <sheetName val="9. Financial indiacators"/>
      <sheetName val="11.F&amp;V Crop Production details"/>
      <sheetName val="12.Facility 1 - Trading"/>
      <sheetName val="17.Facility 6 Horti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2">
          <cell r="B32">
            <v>135</v>
          </cell>
        </row>
        <row r="36">
          <cell r="B36">
            <v>0</v>
          </cell>
        </row>
      </sheetData>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 /><Relationship Id="rId1" Type="http://schemas.openxmlformats.org/officeDocument/2006/relationships/hyperlink" Target="https://www.investopedia.com/terms/d/discountrate.asp" TargetMode="External" /></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opLeftCell="A11" workbookViewId="0" xr3:uid="{AEA406A1-0E4B-5B11-9CD5-51D6E497D94C}">
      <selection activeCell="I27" sqref="I27"/>
    </sheetView>
  </sheetViews>
  <sheetFormatPr defaultColWidth="9.14453125" defaultRowHeight="15" x14ac:dyDescent="0.2"/>
  <cols>
    <col min="1" max="1" width="12.9140625" style="302" customWidth="1"/>
    <col min="2" max="2" width="55.9609375" style="302" customWidth="1"/>
    <col min="3" max="3" width="26.23046875" style="302" customWidth="1"/>
    <col min="4" max="4" width="20.71484375" style="302" customWidth="1"/>
    <col min="5" max="5" width="29.45703125" style="302" customWidth="1"/>
    <col min="6" max="16384" width="9.14453125" style="302"/>
  </cols>
  <sheetData>
    <row r="1" spans="1:5" ht="26.25" customHeight="1" x14ac:dyDescent="0.2">
      <c r="A1" s="683" t="s">
        <v>589</v>
      </c>
      <c r="B1" s="683"/>
      <c r="C1" s="683"/>
      <c r="D1" s="683"/>
      <c r="E1" s="683"/>
    </row>
    <row r="2" spans="1:5" ht="26.25" customHeight="1" x14ac:dyDescent="0.2">
      <c r="A2" s="684" t="s">
        <v>585</v>
      </c>
      <c r="B2" s="684"/>
      <c r="C2" s="684"/>
      <c r="D2" s="684"/>
      <c r="E2" s="684"/>
    </row>
    <row r="3" spans="1:5" ht="23.25" customHeight="1" x14ac:dyDescent="0.2">
      <c r="A3" s="685" t="s">
        <v>556</v>
      </c>
      <c r="B3" s="685"/>
      <c r="C3" s="685"/>
      <c r="D3" s="685"/>
      <c r="E3" s="685"/>
    </row>
    <row r="4" spans="1:5" ht="240.75" customHeight="1" x14ac:dyDescent="0.2">
      <c r="A4" s="686" t="s">
        <v>590</v>
      </c>
      <c r="B4" s="686"/>
      <c r="C4" s="686"/>
      <c r="D4" s="686"/>
      <c r="E4" s="686"/>
    </row>
    <row r="5" spans="1:5" ht="23.25" customHeight="1" x14ac:dyDescent="0.2">
      <c r="A5" s="685" t="s">
        <v>557</v>
      </c>
      <c r="B5" s="685"/>
      <c r="C5" s="685"/>
      <c r="D5" s="685"/>
      <c r="E5" s="685"/>
    </row>
    <row r="6" spans="1:5" ht="108" customHeight="1" x14ac:dyDescent="0.2">
      <c r="A6" s="693" t="s">
        <v>628</v>
      </c>
      <c r="B6" s="694"/>
      <c r="C6" s="694"/>
      <c r="D6" s="694"/>
      <c r="E6" s="695"/>
    </row>
    <row r="7" spans="1:5" ht="23.25" customHeight="1" x14ac:dyDescent="0.2">
      <c r="A7" s="696" t="s">
        <v>591</v>
      </c>
      <c r="B7" s="696"/>
      <c r="C7" s="696"/>
      <c r="D7" s="696"/>
      <c r="E7" s="696"/>
    </row>
    <row r="8" spans="1:5" ht="125.25" customHeight="1" x14ac:dyDescent="0.2">
      <c r="A8" s="686" t="s">
        <v>627</v>
      </c>
      <c r="B8" s="686"/>
      <c r="C8" s="686"/>
      <c r="D8" s="686"/>
      <c r="E8" s="686"/>
    </row>
    <row r="9" spans="1:5" ht="23.25" x14ac:dyDescent="0.2">
      <c r="A9" s="685" t="s">
        <v>582</v>
      </c>
      <c r="B9" s="685"/>
      <c r="C9" s="685"/>
      <c r="D9" s="685"/>
      <c r="E9" s="685"/>
    </row>
    <row r="10" spans="1:5" x14ac:dyDescent="0.2">
      <c r="A10" s="302" t="s">
        <v>558</v>
      </c>
      <c r="B10" s="302" t="s">
        <v>146</v>
      </c>
    </row>
    <row r="11" spans="1:5" ht="20.25" customHeight="1" x14ac:dyDescent="0.2">
      <c r="A11" s="306"/>
      <c r="B11" s="697" t="s">
        <v>387</v>
      </c>
      <c r="C11" s="698"/>
      <c r="D11" s="698"/>
      <c r="E11" s="699"/>
    </row>
    <row r="12" spans="1:5" x14ac:dyDescent="0.2">
      <c r="A12" s="307"/>
      <c r="B12" s="687" t="s">
        <v>388</v>
      </c>
      <c r="C12" s="687"/>
      <c r="D12" s="687"/>
      <c r="E12" s="687"/>
    </row>
    <row r="13" spans="1:5" s="309" customFormat="1" x14ac:dyDescent="0.2">
      <c r="A13" s="688"/>
      <c r="B13" s="688"/>
      <c r="C13" s="688"/>
      <c r="D13" s="688"/>
      <c r="E13" s="689"/>
    </row>
    <row r="14" spans="1:5" ht="23.25" x14ac:dyDescent="0.2">
      <c r="A14" s="685" t="s">
        <v>583</v>
      </c>
      <c r="B14" s="685"/>
      <c r="C14" s="685"/>
      <c r="D14" s="685"/>
      <c r="E14" s="685"/>
    </row>
    <row r="15" spans="1:5" x14ac:dyDescent="0.2">
      <c r="A15" s="303" t="s">
        <v>554</v>
      </c>
      <c r="B15" s="303" t="s">
        <v>592</v>
      </c>
      <c r="C15" s="303" t="s">
        <v>440</v>
      </c>
      <c r="D15" s="303" t="s">
        <v>562</v>
      </c>
      <c r="E15" s="303" t="s">
        <v>555</v>
      </c>
    </row>
    <row r="16" spans="1:5" x14ac:dyDescent="0.2">
      <c r="A16" s="310" t="s">
        <v>167</v>
      </c>
      <c r="B16" s="310" t="s">
        <v>593</v>
      </c>
      <c r="C16" s="310"/>
      <c r="D16" s="310"/>
      <c r="E16" s="310"/>
    </row>
    <row r="17" spans="1:5" ht="41.25" x14ac:dyDescent="0.2">
      <c r="A17" s="311" t="s">
        <v>572</v>
      </c>
      <c r="B17" s="304" t="s">
        <v>579</v>
      </c>
      <c r="C17" s="304" t="s">
        <v>624</v>
      </c>
      <c r="D17" s="304" t="s">
        <v>594</v>
      </c>
      <c r="E17" s="304"/>
    </row>
    <row r="18" spans="1:5" ht="68.25" x14ac:dyDescent="0.2">
      <c r="A18" s="311" t="s">
        <v>573</v>
      </c>
      <c r="B18" s="304" t="s">
        <v>559</v>
      </c>
      <c r="C18" s="304" t="s">
        <v>625</v>
      </c>
      <c r="D18" s="304" t="s">
        <v>595</v>
      </c>
      <c r="E18" s="304"/>
    </row>
    <row r="19" spans="1:5" ht="26.25" customHeight="1" x14ac:dyDescent="0.2">
      <c r="A19" s="311" t="s">
        <v>574</v>
      </c>
      <c r="B19" s="305" t="s">
        <v>586</v>
      </c>
      <c r="C19" s="304" t="s">
        <v>596</v>
      </c>
      <c r="D19" s="304" t="s">
        <v>597</v>
      </c>
      <c r="E19" s="304" t="s">
        <v>584</v>
      </c>
    </row>
    <row r="20" spans="1:5" x14ac:dyDescent="0.2">
      <c r="A20" s="311" t="s">
        <v>575</v>
      </c>
      <c r="B20" s="304" t="s">
        <v>626</v>
      </c>
      <c r="C20" s="304"/>
      <c r="D20" s="304"/>
      <c r="E20" s="304"/>
    </row>
    <row r="21" spans="1:5" x14ac:dyDescent="0.2">
      <c r="A21" s="304">
        <v>4.0999999999999996</v>
      </c>
      <c r="B21" s="304" t="s">
        <v>566</v>
      </c>
      <c r="C21" s="690" t="s">
        <v>598</v>
      </c>
      <c r="D21" s="304" t="s">
        <v>599</v>
      </c>
      <c r="E21" s="304"/>
    </row>
    <row r="22" spans="1:5" x14ac:dyDescent="0.2">
      <c r="A22" s="304">
        <v>4.2</v>
      </c>
      <c r="B22" s="304" t="s">
        <v>570</v>
      </c>
      <c r="C22" s="691"/>
      <c r="D22" s="304" t="s">
        <v>600</v>
      </c>
      <c r="E22" s="304"/>
    </row>
    <row r="23" spans="1:5" x14ac:dyDescent="0.2">
      <c r="A23" s="304">
        <v>4.3</v>
      </c>
      <c r="B23" s="304" t="s">
        <v>567</v>
      </c>
      <c r="C23" s="691"/>
      <c r="D23" s="304" t="s">
        <v>601</v>
      </c>
      <c r="E23" s="304"/>
    </row>
    <row r="24" spans="1:5" x14ac:dyDescent="0.2">
      <c r="A24" s="304">
        <v>4.4000000000000004</v>
      </c>
      <c r="B24" s="304" t="s">
        <v>568</v>
      </c>
      <c r="C24" s="691"/>
      <c r="D24" s="304" t="s">
        <v>602</v>
      </c>
      <c r="E24" s="304"/>
    </row>
    <row r="25" spans="1:5" x14ac:dyDescent="0.2">
      <c r="A25" s="304">
        <v>4.5</v>
      </c>
      <c r="B25" s="304" t="s">
        <v>569</v>
      </c>
      <c r="C25" s="691"/>
      <c r="D25" s="304" t="s">
        <v>603</v>
      </c>
      <c r="E25" s="304"/>
    </row>
    <row r="26" spans="1:5" x14ac:dyDescent="0.2">
      <c r="A26" s="304">
        <v>4.5999999999999996</v>
      </c>
      <c r="B26" s="304" t="s">
        <v>571</v>
      </c>
      <c r="C26" s="692"/>
      <c r="D26" s="304" t="s">
        <v>604</v>
      </c>
      <c r="E26" s="304"/>
    </row>
    <row r="27" spans="1:5" ht="41.25" x14ac:dyDescent="0.2">
      <c r="A27" s="311" t="s">
        <v>576</v>
      </c>
      <c r="B27" s="304" t="s">
        <v>560</v>
      </c>
      <c r="C27" s="304" t="s">
        <v>605</v>
      </c>
      <c r="D27" s="304" t="s">
        <v>630</v>
      </c>
      <c r="E27" s="304"/>
    </row>
    <row r="28" spans="1:5" ht="41.25" x14ac:dyDescent="0.2">
      <c r="A28" s="311" t="s">
        <v>577</v>
      </c>
      <c r="B28" s="304" t="s">
        <v>606</v>
      </c>
      <c r="C28" s="304" t="s">
        <v>607</v>
      </c>
      <c r="D28" s="304" t="s">
        <v>608</v>
      </c>
      <c r="E28" s="304"/>
    </row>
    <row r="29" spans="1:5" ht="27.75" x14ac:dyDescent="0.2">
      <c r="A29" s="311" t="s">
        <v>578</v>
      </c>
      <c r="B29" s="304" t="s">
        <v>561</v>
      </c>
      <c r="C29" s="304" t="s">
        <v>609</v>
      </c>
      <c r="D29" s="304" t="s">
        <v>610</v>
      </c>
      <c r="E29" s="304"/>
    </row>
    <row r="30" spans="1:5" x14ac:dyDescent="0.2">
      <c r="A30" s="310" t="s">
        <v>168</v>
      </c>
      <c r="B30" s="312" t="s">
        <v>611</v>
      </c>
      <c r="C30" s="310"/>
      <c r="D30" s="310"/>
      <c r="E30" s="310"/>
    </row>
    <row r="31" spans="1:5" ht="26.25" customHeight="1" x14ac:dyDescent="0.2">
      <c r="A31" s="313" t="s">
        <v>612</v>
      </c>
      <c r="B31" s="304" t="s">
        <v>563</v>
      </c>
      <c r="C31" s="304"/>
      <c r="D31" s="304" t="s">
        <v>613</v>
      </c>
      <c r="E31" s="304" t="s">
        <v>584</v>
      </c>
    </row>
    <row r="32" spans="1:5" x14ac:dyDescent="0.2">
      <c r="A32" s="313" t="s">
        <v>614</v>
      </c>
      <c r="B32" s="304" t="s">
        <v>564</v>
      </c>
      <c r="C32" s="304"/>
      <c r="D32" s="304" t="s">
        <v>615</v>
      </c>
      <c r="E32" s="304" t="s">
        <v>584</v>
      </c>
    </row>
    <row r="33" spans="1:5" x14ac:dyDescent="0.2">
      <c r="A33" s="313" t="s">
        <v>616</v>
      </c>
      <c r="B33" s="304" t="s">
        <v>565</v>
      </c>
      <c r="C33" s="304"/>
      <c r="D33" s="304" t="s">
        <v>617</v>
      </c>
      <c r="E33" s="304" t="s">
        <v>584</v>
      </c>
    </row>
    <row r="34" spans="1:5" ht="35.25" customHeight="1" x14ac:dyDescent="0.2">
      <c r="A34" s="313" t="s">
        <v>618</v>
      </c>
      <c r="B34" s="304" t="s">
        <v>580</v>
      </c>
      <c r="C34" s="304"/>
      <c r="D34" s="304" t="s">
        <v>619</v>
      </c>
      <c r="E34" s="304" t="s">
        <v>584</v>
      </c>
    </row>
    <row r="35" spans="1:5" ht="35.25" customHeight="1" x14ac:dyDescent="0.2">
      <c r="A35" s="313" t="s">
        <v>620</v>
      </c>
      <c r="B35" s="304" t="s">
        <v>621</v>
      </c>
      <c r="C35" s="304"/>
      <c r="D35" s="304" t="s">
        <v>629</v>
      </c>
      <c r="E35" s="304" t="s">
        <v>584</v>
      </c>
    </row>
    <row r="36" spans="1:5" x14ac:dyDescent="0.2">
      <c r="A36" s="311" t="s">
        <v>622</v>
      </c>
      <c r="B36" s="304" t="s">
        <v>623</v>
      </c>
      <c r="C36" s="304"/>
      <c r="D36" s="304"/>
      <c r="E36" s="304"/>
    </row>
    <row r="37" spans="1:5" ht="21" x14ac:dyDescent="0.2">
      <c r="A37" s="682"/>
      <c r="B37" s="682"/>
      <c r="C37" s="682"/>
      <c r="D37" s="682"/>
      <c r="E37" s="682"/>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4"/>
  <sheetViews>
    <sheetView view="pageBreakPreview" zoomScale="80" zoomScaleSheetLayoutView="80" workbookViewId="0" xr3:uid="{7BE570AB-09E9-518F-B8F7-3F91B7162CA9}">
      <selection activeCell="A4" sqref="A4:I36"/>
    </sheetView>
  </sheetViews>
  <sheetFormatPr defaultRowHeight="15" x14ac:dyDescent="0.2"/>
  <cols>
    <col min="1" max="1" width="3.62890625" bestFit="1" customWidth="1"/>
    <col min="2" max="2" width="35.6484375" bestFit="1" customWidth="1"/>
    <col min="3" max="9" width="12.5078125" customWidth="1"/>
  </cols>
  <sheetData>
    <row r="1" spans="1:11" x14ac:dyDescent="0.2">
      <c r="A1" s="717"/>
      <c r="B1" s="717"/>
      <c r="C1" s="717"/>
      <c r="D1" s="717"/>
      <c r="E1" s="717"/>
      <c r="F1" s="717"/>
      <c r="G1" s="717"/>
    </row>
    <row r="2" spans="1:11" ht="18" x14ac:dyDescent="0.2">
      <c r="A2" s="702" t="s">
        <v>511</v>
      </c>
      <c r="B2" s="702"/>
      <c r="C2" s="702"/>
      <c r="D2" s="702"/>
      <c r="E2" s="702"/>
      <c r="F2" s="702"/>
      <c r="G2" s="702"/>
      <c r="H2" s="702"/>
      <c r="I2" s="702"/>
      <c r="J2" s="71"/>
    </row>
    <row r="4" spans="1:11" x14ac:dyDescent="0.2">
      <c r="A4" s="49" t="s">
        <v>222</v>
      </c>
      <c r="B4" s="49" t="s">
        <v>0</v>
      </c>
      <c r="C4" s="50" t="s">
        <v>2</v>
      </c>
      <c r="D4" s="50" t="s">
        <v>3</v>
      </c>
      <c r="E4" s="50" t="s">
        <v>4</v>
      </c>
      <c r="F4" s="50" t="s">
        <v>5</v>
      </c>
      <c r="G4" s="50" t="s">
        <v>6</v>
      </c>
      <c r="H4" s="50" t="s">
        <v>163</v>
      </c>
      <c r="I4" s="50" t="s">
        <v>162</v>
      </c>
    </row>
    <row r="5" spans="1:11" x14ac:dyDescent="0.2">
      <c r="A5" s="36">
        <v>1</v>
      </c>
      <c r="B5" s="36" t="s">
        <v>867</v>
      </c>
      <c r="C5" s="37"/>
      <c r="D5" s="37"/>
      <c r="E5" s="37"/>
      <c r="F5" s="37"/>
      <c r="G5" s="37"/>
      <c r="H5" s="37"/>
      <c r="I5" s="37"/>
    </row>
    <row r="6" spans="1:11" x14ac:dyDescent="0.2">
      <c r="A6" s="36"/>
      <c r="B6" s="38" t="s">
        <v>352</v>
      </c>
      <c r="C6" s="506">
        <f>+'6.Cons Profit &amp; Loss'!B19</f>
        <v>231.58948611111109</v>
      </c>
      <c r="D6" s="506">
        <f>+'6.Cons Profit &amp; Loss'!C19</f>
        <v>270.47527083333335</v>
      </c>
      <c r="E6" s="506">
        <f>+'6.Cons Profit &amp; Loss'!D19</f>
        <v>313.63623527777781</v>
      </c>
      <c r="F6" s="506">
        <f>+'6.Cons Profit &amp; Loss'!E19</f>
        <v>362.11232305555558</v>
      </c>
      <c r="G6" s="506">
        <f>+'6.Cons Profit &amp; Loss'!F19</f>
        <v>409.82118733449079</v>
      </c>
      <c r="H6" s="506">
        <f>+'6.Cons Profit &amp; Loss'!G19</f>
        <v>463.99905113692125</v>
      </c>
      <c r="I6" s="506">
        <f>+'6.Cons Profit &amp; Loss'!H19</f>
        <v>524.70624917255498</v>
      </c>
      <c r="K6" s="365"/>
    </row>
    <row r="7" spans="1:11" x14ac:dyDescent="0.2">
      <c r="A7" s="36">
        <v>2</v>
      </c>
      <c r="B7" s="36" t="s">
        <v>223</v>
      </c>
      <c r="C7" s="506">
        <f>'1.Project Cost and MOF'!E21</f>
        <v>32.384503878279332</v>
      </c>
      <c r="D7" s="506"/>
      <c r="E7" s="506"/>
      <c r="F7" s="506"/>
      <c r="G7" s="506"/>
      <c r="H7" s="506"/>
      <c r="I7" s="506"/>
    </row>
    <row r="8" spans="1:11" ht="48" customHeight="1" x14ac:dyDescent="0.2">
      <c r="A8" s="36"/>
      <c r="B8" s="511" t="str">
        <f>+'7.Balance Sheet'!A39</f>
        <v>Appropriation 40% for Investment reserve ( Distribution of Dividend and Bonus Shares)</v>
      </c>
      <c r="C8" s="506">
        <f>-'6.Cons Profit &amp; Loss'!B57</f>
        <v>-5.7946021844095119</v>
      </c>
      <c r="D8" s="506">
        <f>-'6.Cons Profit &amp; Loss'!C57</f>
        <v>-7.6842873245998309</v>
      </c>
      <c r="E8" s="506">
        <f>-'6.Cons Profit &amp; Loss'!D57</f>
        <v>-10.049805564054047</v>
      </c>
      <c r="F8" s="506">
        <f>-'6.Cons Profit &amp; Loss'!E57</f>
        <v>-13.14989641739116</v>
      </c>
      <c r="G8" s="506">
        <f>-'6.Cons Profit &amp; Loss'!F57</f>
        <v>-15.06254975371983</v>
      </c>
      <c r="H8" s="506">
        <f>-'6.Cons Profit &amp; Loss'!G57</f>
        <v>-17.76742181564601</v>
      </c>
      <c r="I8" s="506">
        <f>-'6.Cons Profit &amp; Loss'!H57</f>
        <v>-21.155631284264587</v>
      </c>
    </row>
    <row r="9" spans="1:11" x14ac:dyDescent="0.2">
      <c r="A9" s="36">
        <v>3</v>
      </c>
      <c r="B9" s="36" t="str">
        <f>'7.Balance Sheet'!A35</f>
        <v>Smart Grant -in-Aid</v>
      </c>
      <c r="C9" s="506">
        <f>'1.Project Cost and MOF'!E19</f>
        <v>89.080803000000003</v>
      </c>
      <c r="D9" s="506"/>
      <c r="E9" s="506"/>
      <c r="F9" s="506"/>
      <c r="G9" s="506"/>
      <c r="H9" s="506"/>
      <c r="I9" s="506"/>
    </row>
    <row r="10" spans="1:11" x14ac:dyDescent="0.2">
      <c r="A10" s="36">
        <v>4</v>
      </c>
      <c r="B10" s="36" t="s">
        <v>224</v>
      </c>
      <c r="C10" s="506">
        <f>'1.Project Cost and MOF'!E20</f>
        <v>29.693601000000001</v>
      </c>
      <c r="D10" s="506"/>
      <c r="E10" s="506"/>
      <c r="F10" s="506"/>
      <c r="G10" s="506"/>
      <c r="H10" s="506"/>
      <c r="I10" s="506"/>
    </row>
    <row r="11" spans="1:11" x14ac:dyDescent="0.2">
      <c r="A11" s="36">
        <v>5</v>
      </c>
      <c r="B11" s="36" t="s">
        <v>225</v>
      </c>
      <c r="C11" s="506">
        <f>'5.Closing Stock &amp; W Capital'!E55*75%</f>
        <v>8.0727086348379622</v>
      </c>
      <c r="D11" s="506">
        <f>+'7.Balance Sheet'!C25-'7.Balance Sheet'!B25</f>
        <v>5.8248093986689859</v>
      </c>
      <c r="E11" s="506">
        <f>+'7.Balance Sheet'!D25-'7.Balance Sheet'!C25</f>
        <v>6.7964088996498866</v>
      </c>
      <c r="F11" s="506">
        <f>+'7.Balance Sheet'!E25-'7.Balance Sheet'!D25</f>
        <v>8.1734901355177918</v>
      </c>
      <c r="G11" s="506">
        <f>+'7.Balance Sheet'!F25-'7.Balance Sheet'!E25</f>
        <v>9.1494358068046751</v>
      </c>
      <c r="H11" s="506">
        <f>+'7.Balance Sheet'!G25-'7.Balance Sheet'!F25</f>
        <v>10.702146566809994</v>
      </c>
      <c r="I11" s="506">
        <f>+'7.Balance Sheet'!H25-'7.Balance Sheet'!G25</f>
        <v>12.490077425707675</v>
      </c>
    </row>
    <row r="12" spans="1:11" x14ac:dyDescent="0.2">
      <c r="A12" s="36">
        <v>6</v>
      </c>
      <c r="B12" s="36" t="s">
        <v>810</v>
      </c>
      <c r="C12" s="506">
        <f>+'7.Balance Sheet'!B26</f>
        <v>17.466427645833331</v>
      </c>
      <c r="D12" s="506">
        <f>+'7.Balance Sheet'!C26-'7.Balance Sheet'!B26</f>
        <v>2.3579325687500017</v>
      </c>
      <c r="E12" s="506">
        <f>+'7.Balance Sheet'!D26-'7.Balance Sheet'!C26</f>
        <v>2.8956073544791678</v>
      </c>
      <c r="F12" s="506">
        <f>+'7.Balance Sheet'!E26-'7.Balance Sheet'!D26</f>
        <v>3.1328130600503421</v>
      </c>
      <c r="G12" s="506">
        <f>+'7.Balance Sheet'!F26-'7.Balance Sheet'!E26</f>
        <v>3.372124898122312</v>
      </c>
      <c r="H12" s="506">
        <f>+'7.Balance Sheet'!G26-'7.Balance Sheet'!F26</f>
        <v>3.6419574253200899</v>
      </c>
      <c r="I12" s="506">
        <f>+'7.Balance Sheet'!H26-'7.Balance Sheet'!G26</f>
        <v>3.9840498427666589</v>
      </c>
    </row>
    <row r="13" spans="1:11" x14ac:dyDescent="0.2">
      <c r="A13" s="36">
        <v>7</v>
      </c>
      <c r="B13" s="36" t="s">
        <v>811</v>
      </c>
      <c r="C13" s="506">
        <f>-'7.Balance Sheet'!B11-'7.Balance Sheet'!B9</f>
        <v>-28.230039158950614</v>
      </c>
      <c r="D13" s="506">
        <f>+'7.Balance Sheet'!B9+'7.Balance Sheet'!B11-'7.Balance Sheet'!C9-'7.Balance Sheet'!C11</f>
        <v>-10.124345100308645</v>
      </c>
      <c r="E13" s="506">
        <f>+'7.Balance Sheet'!C9+'7.Balance Sheet'!C11-'7.Balance Sheet'!D9-'7.Balance Sheet'!D11</f>
        <v>-11.95748588734568</v>
      </c>
      <c r="F13" s="506">
        <f>+'7.Balance Sheet'!D9+'7.Balance Sheet'!D11-'7.Balance Sheet'!E9-'7.Balance Sheet'!E11</f>
        <v>-14.030799907407403</v>
      </c>
      <c r="G13" s="506">
        <f>+'7.Balance Sheet'!E9+'7.Balance Sheet'!E11-'7.Balance Sheet'!F9-'7.Balance Sheet'!F11</f>
        <v>-15.571372640528544</v>
      </c>
      <c r="H13" s="506">
        <f>+'7.Balance Sheet'!F9+'7.Balance Sheet'!F11-'7.Balance Sheet'!G9-'7.Balance Sheet'!G11</f>
        <v>-17.911486181066742</v>
      </c>
      <c r="I13" s="506">
        <f>+'7.Balance Sheet'!G9+'7.Balance Sheet'!G11-'7.Balance Sheet'!H9-'7.Balance Sheet'!H11</f>
        <v>-20.637486410376894</v>
      </c>
    </row>
    <row r="14" spans="1:11" x14ac:dyDescent="0.2">
      <c r="A14" s="36"/>
      <c r="B14" s="36" t="s">
        <v>226</v>
      </c>
      <c r="C14" s="507">
        <f>SUM(C6:C13)</f>
        <v>374.26288892670163</v>
      </c>
      <c r="D14" s="507">
        <f t="shared" ref="D14:I14" si="0">SUM(D6:D13)</f>
        <v>260.84938037584391</v>
      </c>
      <c r="E14" s="507">
        <f t="shared" si="0"/>
        <v>301.32096008050712</v>
      </c>
      <c r="F14" s="507">
        <f t="shared" si="0"/>
        <v>346.23792992632514</v>
      </c>
      <c r="G14" s="507">
        <f t="shared" si="0"/>
        <v>391.70882564516938</v>
      </c>
      <c r="H14" s="507">
        <f t="shared" si="0"/>
        <v>442.66424713233857</v>
      </c>
      <c r="I14" s="507">
        <f t="shared" si="0"/>
        <v>499.38725874638789</v>
      </c>
    </row>
    <row r="15" spans="1:11" x14ac:dyDescent="0.2">
      <c r="A15" s="754" t="s">
        <v>227</v>
      </c>
      <c r="B15" s="754"/>
      <c r="C15" s="508"/>
      <c r="D15" s="508"/>
      <c r="E15" s="508"/>
      <c r="F15" s="508"/>
      <c r="G15" s="508"/>
      <c r="H15" s="508"/>
      <c r="I15" s="508"/>
    </row>
    <row r="16" spans="1:11" x14ac:dyDescent="0.2">
      <c r="A16" s="36">
        <v>1</v>
      </c>
      <c r="B16" s="36" t="s">
        <v>228</v>
      </c>
      <c r="C16" s="508"/>
      <c r="D16" s="508"/>
      <c r="E16" s="508"/>
      <c r="F16" s="508"/>
      <c r="G16" s="508"/>
      <c r="H16" s="508"/>
      <c r="I16" s="508"/>
    </row>
    <row r="17" spans="1:18" x14ac:dyDescent="0.2">
      <c r="A17" s="40" t="s">
        <v>229</v>
      </c>
      <c r="B17" s="39" t="str">
        <f>'[2]Total Cost of Project'!C3</f>
        <v>Land and Building</v>
      </c>
      <c r="C17" s="506">
        <f>'1.Project Cost and MOF'!D5</f>
        <v>109.31</v>
      </c>
      <c r="D17" s="506"/>
      <c r="E17" s="506"/>
      <c r="F17" s="506"/>
      <c r="G17" s="506"/>
      <c r="H17" s="506"/>
      <c r="I17" s="506"/>
    </row>
    <row r="18" spans="1:18" x14ac:dyDescent="0.2">
      <c r="A18" s="40" t="s">
        <v>230</v>
      </c>
      <c r="B18" s="41" t="str">
        <f>'[2]Total Cost of Project'!C4</f>
        <v>Machinery and Equipment</v>
      </c>
      <c r="C18" s="506">
        <f>'1.Project Cost and MOF'!D6</f>
        <v>32.088100000000004</v>
      </c>
      <c r="D18" s="506"/>
      <c r="E18" s="506"/>
      <c r="F18" s="506"/>
      <c r="G18" s="506"/>
      <c r="H18" s="506"/>
      <c r="I18" s="506"/>
    </row>
    <row r="19" spans="1:18" x14ac:dyDescent="0.2">
      <c r="A19" s="40" t="s">
        <v>266</v>
      </c>
      <c r="B19" s="41" t="s">
        <v>318</v>
      </c>
      <c r="C19" s="506">
        <f>'1.Project Cost and MOF'!D7</f>
        <v>0</v>
      </c>
      <c r="D19" s="506"/>
      <c r="E19" s="506"/>
      <c r="F19" s="506"/>
      <c r="G19" s="506"/>
      <c r="H19" s="506"/>
      <c r="I19" s="506"/>
    </row>
    <row r="20" spans="1:18" x14ac:dyDescent="0.2">
      <c r="A20" s="40" t="s">
        <v>268</v>
      </c>
      <c r="B20" s="41" t="s">
        <v>320</v>
      </c>
      <c r="C20" s="506">
        <f>'1.Project Cost and MOF'!D8</f>
        <v>0</v>
      </c>
      <c r="D20" s="506"/>
      <c r="E20" s="506"/>
      <c r="F20" s="506"/>
      <c r="G20" s="506"/>
      <c r="H20" s="506"/>
      <c r="I20" s="506"/>
    </row>
    <row r="21" spans="1:18" x14ac:dyDescent="0.2">
      <c r="A21" s="40" t="s">
        <v>321</v>
      </c>
      <c r="B21" s="41" t="s">
        <v>267</v>
      </c>
      <c r="C21" s="506">
        <f>'1.Project Cost and MOF'!D9</f>
        <v>0</v>
      </c>
      <c r="D21" s="506"/>
      <c r="E21" s="506"/>
      <c r="F21" s="506"/>
      <c r="G21" s="506"/>
      <c r="H21" s="506"/>
      <c r="I21" s="506"/>
    </row>
    <row r="22" spans="1:18" x14ac:dyDescent="0.2">
      <c r="A22" s="40" t="s">
        <v>322</v>
      </c>
      <c r="B22" s="41" t="s">
        <v>269</v>
      </c>
      <c r="C22" s="506">
        <f>'1.Project Cost and MOF'!D10</f>
        <v>7.0699050000000003</v>
      </c>
      <c r="D22" s="506"/>
      <c r="E22" s="506"/>
      <c r="F22" s="506"/>
      <c r="G22" s="506"/>
      <c r="H22" s="506"/>
      <c r="I22" s="506"/>
    </row>
    <row r="23" spans="1:18" x14ac:dyDescent="0.2">
      <c r="A23" s="36">
        <v>2</v>
      </c>
      <c r="B23" s="36" t="s">
        <v>231</v>
      </c>
      <c r="C23" s="508"/>
      <c r="D23" s="508"/>
      <c r="E23" s="508"/>
      <c r="F23" s="508"/>
      <c r="G23" s="508"/>
      <c r="H23" s="508"/>
      <c r="I23" s="508"/>
    </row>
    <row r="24" spans="1:18" x14ac:dyDescent="0.2">
      <c r="A24" s="40" t="s">
        <v>229</v>
      </c>
      <c r="B24" s="39" t="s">
        <v>301</v>
      </c>
      <c r="C24" s="509">
        <f>'6.Cons Profit &amp; Loss'!B29</f>
        <v>188.27216024999998</v>
      </c>
      <c r="D24" s="509">
        <f>'6.Cons Profit &amp; Loss'!C29</f>
        <v>219.32260249999999</v>
      </c>
      <c r="E24" s="509">
        <f>'6.Cons Profit &amp; Loss'!D29</f>
        <v>253.14285475</v>
      </c>
      <c r="F24" s="509">
        <f>'6.Cons Profit &amp; Loss'!E29</f>
        <v>289.76320366666658</v>
      </c>
      <c r="G24" s="509">
        <f>'6.Cons Profit &amp; Loss'!F29</f>
        <v>329.20692924999997</v>
      </c>
      <c r="H24" s="509">
        <f>'6.Cons Profit &amp; Loss'!G29</f>
        <v>371.83707149999998</v>
      </c>
      <c r="I24" s="509">
        <f>'6.Cons Profit &amp; Loss'!H29</f>
        <v>418.51902041666671</v>
      </c>
      <c r="K24" s="365">
        <f t="shared" ref="K24:R24" si="1">+C6-C24-C25</f>
        <v>25.812354361111101</v>
      </c>
      <c r="L24" s="365">
        <f t="shared" si="1"/>
        <v>32.773948258333363</v>
      </c>
      <c r="M24" s="365">
        <f t="shared" si="1"/>
        <v>41.197224449027814</v>
      </c>
      <c r="N24" s="365">
        <f t="shared" si="1"/>
        <v>52.089655506201488</v>
      </c>
      <c r="O24" s="365">
        <f t="shared" si="1"/>
        <v>59.343321007668933</v>
      </c>
      <c r="P24" s="365">
        <f t="shared" si="1"/>
        <v>69.828995706258297</v>
      </c>
      <c r="Q24" s="365">
        <f t="shared" si="1"/>
        <v>82.739095628692155</v>
      </c>
      <c r="R24" s="365">
        <f t="shared" si="1"/>
        <v>0</v>
      </c>
    </row>
    <row r="25" spans="1:18" x14ac:dyDescent="0.2">
      <c r="A25" s="40" t="s">
        <v>230</v>
      </c>
      <c r="B25" s="39" t="s">
        <v>299</v>
      </c>
      <c r="C25" s="506">
        <f>'6.Cons Profit &amp; Loss'!B40</f>
        <v>17.5049715</v>
      </c>
      <c r="D25" s="506">
        <f>'6.Cons Profit &amp; Loss'!C40</f>
        <v>18.378720075000004</v>
      </c>
      <c r="E25" s="506">
        <f>'6.Cons Profit &amp; Loss'!D40</f>
        <v>19.296156078750002</v>
      </c>
      <c r="F25" s="506">
        <f>'6.Cons Profit &amp; Loss'!E40</f>
        <v>20.259463882687506</v>
      </c>
      <c r="G25" s="506">
        <f>'6.Cons Profit &amp; Loss'!F40</f>
        <v>21.27093707682188</v>
      </c>
      <c r="H25" s="506">
        <f>'6.Cons Profit &amp; Loss'!G40</f>
        <v>22.332983930662976</v>
      </c>
      <c r="I25" s="506">
        <f>'6.Cons Profit &amp; Loss'!H40</f>
        <v>23.448133127196122</v>
      </c>
    </row>
    <row r="26" spans="1:18" x14ac:dyDescent="0.2">
      <c r="A26" s="42">
        <v>3</v>
      </c>
      <c r="B26" s="36" t="s">
        <v>474</v>
      </c>
      <c r="C26" s="506"/>
      <c r="D26" s="506"/>
      <c r="E26" s="506"/>
      <c r="F26" s="506"/>
      <c r="G26" s="506"/>
      <c r="H26" s="506"/>
      <c r="I26" s="506"/>
    </row>
    <row r="27" spans="1:18" x14ac:dyDescent="0.2">
      <c r="A27" s="40"/>
      <c r="B27" s="39" t="s">
        <v>232</v>
      </c>
      <c r="C27" s="506">
        <f>SUM('4.TL repayment sch'!E10:E21)</f>
        <v>3.6932568379781898</v>
      </c>
      <c r="D27" s="506">
        <f>SUM('4.TL repayment sch'!E22:E33)</f>
        <v>7.902310723061837</v>
      </c>
      <c r="E27" s="506">
        <f>SUM('4.TL repayment sch'!E34:E45)</f>
        <v>8.6436019764244101</v>
      </c>
      <c r="F27" s="506">
        <f>SUM('4.TL repayment sch'!E46:E57)</f>
        <v>9.4544314625355614</v>
      </c>
      <c r="G27" s="506">
        <f>SUM('4.TL repayment sch'!E58:E69)</f>
        <v>2.3980817331903381E-14</v>
      </c>
      <c r="H27" s="506">
        <f>SUM('4.TL repayment sch'!E70:E81)</f>
        <v>2.3980817331903381E-14</v>
      </c>
      <c r="I27" s="506">
        <f>SUM('4.TL repayment sch'!E82:E93)</f>
        <v>2.3980817331903381E-14</v>
      </c>
    </row>
    <row r="28" spans="1:18" x14ac:dyDescent="0.2">
      <c r="A28" s="40"/>
      <c r="B28" s="39" t="s">
        <v>233</v>
      </c>
      <c r="C28" s="506">
        <f>SUM('4.TL repayment sch'!D10:D21)</f>
        <v>2.603779167534269</v>
      </c>
      <c r="D28" s="506">
        <f>SUM('4.TL repayment sch'!D22:D33)</f>
        <v>2.0193371979630812</v>
      </c>
      <c r="E28" s="506">
        <f>SUM('4.TL repayment sch'!D34:D45)</f>
        <v>1.2780459446005072</v>
      </c>
      <c r="F28" s="506">
        <f>SUM('4.TL repayment sch'!D46:D57)</f>
        <v>0.46721645848935545</v>
      </c>
      <c r="G28" s="506">
        <f>SUM('4.TL repayment sch'!D58:D69)</f>
        <v>2.3980817331903381E-14</v>
      </c>
      <c r="H28" s="506">
        <f>SUM('4.TL repayment sch'!D70:D81)</f>
        <v>2.3980817331903381E-14</v>
      </c>
      <c r="I28" s="506">
        <f>SUM('4.TL repayment sch'!D82:D93)</f>
        <v>2.3980817331903381E-14</v>
      </c>
    </row>
    <row r="29" spans="1:18" x14ac:dyDescent="0.2">
      <c r="A29" s="40"/>
      <c r="B29" s="39" t="s">
        <v>234</v>
      </c>
      <c r="C29" s="506">
        <v>0</v>
      </c>
      <c r="D29" s="506">
        <v>0</v>
      </c>
      <c r="E29" s="506">
        <v>0</v>
      </c>
      <c r="F29" s="506">
        <v>0</v>
      </c>
      <c r="G29" s="506">
        <v>0</v>
      </c>
      <c r="H29" s="506">
        <v>0</v>
      </c>
      <c r="I29" s="506">
        <v>0</v>
      </c>
    </row>
    <row r="30" spans="1:18" x14ac:dyDescent="0.2">
      <c r="A30" s="40"/>
      <c r="B30" s="39" t="s">
        <v>235</v>
      </c>
      <c r="C30" s="506">
        <f>+'6.Cons Profit &amp; Loss'!B52</f>
        <v>0.72654377713541662</v>
      </c>
      <c r="D30" s="510">
        <f>+'6.Cons Profit &amp; Loss'!C52</f>
        <v>1.2507766230156252</v>
      </c>
      <c r="E30" s="510">
        <f>+'6.Cons Profit &amp; Loss'!D52</f>
        <v>1.8624534239841151</v>
      </c>
      <c r="F30" s="510">
        <f>+'6.Cons Profit &amp; Loss'!E52</f>
        <v>2.5980675361807162</v>
      </c>
      <c r="G30" s="510">
        <f>+'6.Cons Profit &amp; Loss'!F52</f>
        <v>3.4215167587931372</v>
      </c>
      <c r="H30" s="510">
        <f>+'6.Cons Profit &amp; Loss'!G52</f>
        <v>4.3847099498060365</v>
      </c>
      <c r="I30" s="510">
        <f>+'6.Cons Profit &amp; Loss'!H52</f>
        <v>5.5088169181197273</v>
      </c>
    </row>
    <row r="31" spans="1:18" x14ac:dyDescent="0.2">
      <c r="A31" s="36">
        <v>4</v>
      </c>
      <c r="B31" s="36" t="s">
        <v>236</v>
      </c>
      <c r="C31" s="506">
        <f>+'6.Cons Profit &amp; Loss'!B55</f>
        <v>1.4892357968461925</v>
      </c>
      <c r="D31" s="506">
        <f>+'6.Cons Profit &amp; Loss'!C55</f>
        <v>3.7868259672836344</v>
      </c>
      <c r="E31" s="506">
        <f>+'6.Cons Profit &amp; Loss'!D55</f>
        <v>6.4259210117366612</v>
      </c>
      <c r="F31" s="506">
        <f>+'6.Cons Profit &amp; Loss'!E55</f>
        <v>9.6433403094820989</v>
      </c>
      <c r="G31" s="506">
        <f>+'6.Cons Profit &amp; Loss'!F55</f>
        <v>11.759139706004751</v>
      </c>
      <c r="H31" s="506">
        <f>+'6.Cons Profit &amp; Loss'!G55</f>
        <v>14.519441058765791</v>
      </c>
      <c r="I31" s="506">
        <f>+'6.Cons Profit &amp; Loss'!H55</f>
        <v>17.834910341339516</v>
      </c>
    </row>
    <row r="32" spans="1:18" x14ac:dyDescent="0.2">
      <c r="A32" s="36"/>
      <c r="B32" s="36" t="s">
        <v>237</v>
      </c>
      <c r="C32" s="511">
        <f t="shared" ref="C32:I32" si="2">SUM(C17:C31)</f>
        <v>362.75795232949406</v>
      </c>
      <c r="D32" s="511">
        <f t="shared" si="2"/>
        <v>252.66057308632421</v>
      </c>
      <c r="E32" s="511">
        <f t="shared" si="2"/>
        <v>290.64903318549568</v>
      </c>
      <c r="F32" s="511">
        <f t="shared" si="2"/>
        <v>332.18572331604184</v>
      </c>
      <c r="G32" s="511">
        <f t="shared" si="2"/>
        <v>365.65852279161976</v>
      </c>
      <c r="H32" s="511">
        <f t="shared" si="2"/>
        <v>413.07420643923479</v>
      </c>
      <c r="I32" s="511">
        <f t="shared" si="2"/>
        <v>465.31088080332211</v>
      </c>
    </row>
    <row r="33" spans="1:10" x14ac:dyDescent="0.2">
      <c r="A33" s="36"/>
      <c r="B33" s="36" t="s">
        <v>238</v>
      </c>
      <c r="C33" s="511">
        <f t="shared" ref="C33:I33" si="3">C14-C32</f>
        <v>11.504936597207575</v>
      </c>
      <c r="D33" s="511">
        <f t="shared" si="3"/>
        <v>8.1888072895197013</v>
      </c>
      <c r="E33" s="511">
        <f t="shared" si="3"/>
        <v>10.671926895011438</v>
      </c>
      <c r="F33" s="511">
        <f t="shared" si="3"/>
        <v>14.052206610283292</v>
      </c>
      <c r="G33" s="511">
        <f t="shared" si="3"/>
        <v>26.050302853549624</v>
      </c>
      <c r="H33" s="511">
        <f t="shared" si="3"/>
        <v>29.590040693103788</v>
      </c>
      <c r="I33" s="511">
        <f t="shared" si="3"/>
        <v>34.076377943065779</v>
      </c>
    </row>
    <row r="34" spans="1:10" x14ac:dyDescent="0.2">
      <c r="A34" s="42"/>
      <c r="B34" s="39" t="s">
        <v>239</v>
      </c>
      <c r="C34" s="508"/>
      <c r="D34" s="508">
        <f t="shared" ref="D34:I34" si="4">C35</f>
        <v>11.504936597207575</v>
      </c>
      <c r="E34" s="508">
        <f t="shared" si="4"/>
        <v>19.693743886727276</v>
      </c>
      <c r="F34" s="508">
        <f t="shared" si="4"/>
        <v>30.365670781738714</v>
      </c>
      <c r="G34" s="508">
        <f t="shared" si="4"/>
        <v>44.417877392022007</v>
      </c>
      <c r="H34" s="508">
        <f t="shared" si="4"/>
        <v>70.468180245571631</v>
      </c>
      <c r="I34" s="508">
        <f t="shared" si="4"/>
        <v>100.05822093867542</v>
      </c>
    </row>
    <row r="35" spans="1:10" x14ac:dyDescent="0.2">
      <c r="A35" s="36"/>
      <c r="B35" s="43" t="s">
        <v>240</v>
      </c>
      <c r="C35" s="511">
        <f t="shared" ref="C35:I35" si="5">C33+C34</f>
        <v>11.504936597207575</v>
      </c>
      <c r="D35" s="511">
        <f t="shared" si="5"/>
        <v>19.693743886727276</v>
      </c>
      <c r="E35" s="511">
        <f t="shared" si="5"/>
        <v>30.365670781738714</v>
      </c>
      <c r="F35" s="511">
        <f t="shared" si="5"/>
        <v>44.417877392022007</v>
      </c>
      <c r="G35" s="511">
        <f t="shared" si="5"/>
        <v>70.468180245571631</v>
      </c>
      <c r="H35" s="511">
        <f t="shared" si="5"/>
        <v>100.05822093867542</v>
      </c>
      <c r="I35" s="511">
        <f t="shared" si="5"/>
        <v>134.1345988817412</v>
      </c>
    </row>
    <row r="36" spans="1:10" x14ac:dyDescent="0.2">
      <c r="A36" s="140"/>
      <c r="B36" s="534"/>
      <c r="C36" s="535">
        <f>+'7.Balance Sheet'!B8</f>
        <v>11.504936597207575</v>
      </c>
      <c r="D36" s="535">
        <f>+'7.Balance Sheet'!C8</f>
        <v>19.693743886727276</v>
      </c>
      <c r="E36" s="535">
        <f>+'7.Balance Sheet'!D8</f>
        <v>30.365670781738714</v>
      </c>
      <c r="F36" s="535">
        <f>+'7.Balance Sheet'!E8</f>
        <v>44.417877392022007</v>
      </c>
      <c r="G36" s="535">
        <f>+'7.Balance Sheet'!F8</f>
        <v>70.468180245571631</v>
      </c>
      <c r="H36" s="535">
        <f>+'7.Balance Sheet'!G8</f>
        <v>100.05822093867542</v>
      </c>
      <c r="I36" s="535">
        <f>+'7.Balance Sheet'!H8</f>
        <v>134.1345988817412</v>
      </c>
    </row>
    <row r="37" spans="1:10" x14ac:dyDescent="0.2">
      <c r="C37" s="365">
        <f>+C35-C36</f>
        <v>0</v>
      </c>
      <c r="D37" s="365">
        <f t="shared" ref="D37:I37" si="6">+D35-D36</f>
        <v>0</v>
      </c>
      <c r="E37" s="365">
        <f t="shared" si="6"/>
        <v>0</v>
      </c>
      <c r="F37" s="365">
        <f t="shared" si="6"/>
        <v>0</v>
      </c>
      <c r="G37" s="365">
        <f t="shared" si="6"/>
        <v>0</v>
      </c>
      <c r="H37" s="365">
        <f t="shared" si="6"/>
        <v>0</v>
      </c>
      <c r="I37" s="365">
        <f t="shared" si="6"/>
        <v>0</v>
      </c>
    </row>
    <row r="38" spans="1:10" ht="39.950000000000003" customHeight="1" x14ac:dyDescent="0.2">
      <c r="A38" s="755" t="s">
        <v>393</v>
      </c>
      <c r="B38" s="755"/>
      <c r="C38" s="755"/>
      <c r="D38" s="755"/>
      <c r="E38" s="755"/>
      <c r="F38" s="755"/>
      <c r="G38" s="755"/>
      <c r="H38" s="755"/>
      <c r="I38" s="755"/>
      <c r="J38" s="610"/>
    </row>
    <row r="40" spans="1:10" x14ac:dyDescent="0.2">
      <c r="C40" s="56"/>
    </row>
    <row r="41" spans="1:10" x14ac:dyDescent="0.2">
      <c r="C41" s="56"/>
    </row>
    <row r="42" spans="1:10" x14ac:dyDescent="0.2">
      <c r="C42" s="56"/>
    </row>
    <row r="43" spans="1:10" x14ac:dyDescent="0.2">
      <c r="C43" s="56"/>
    </row>
    <row r="44" spans="1:10" x14ac:dyDescent="0.2">
      <c r="C44" s="56"/>
    </row>
  </sheetData>
  <mergeCells count="4">
    <mergeCell ref="A1:G1"/>
    <mergeCell ref="A15:B15"/>
    <mergeCell ref="A2:I2"/>
    <mergeCell ref="A38:I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5:S181"/>
  <sheetViews>
    <sheetView view="pageBreakPreview" topLeftCell="A179" zoomScale="70" zoomScaleSheetLayoutView="70" workbookViewId="0" xr3:uid="{65FA3815-DCC1-5481-872F-D2879ED395ED}">
      <selection activeCell="B121" sqref="B121:I179"/>
    </sheetView>
  </sheetViews>
  <sheetFormatPr defaultRowHeight="15" x14ac:dyDescent="0.2"/>
  <cols>
    <col min="2" max="2" width="32.6875" bestFit="1" customWidth="1"/>
    <col min="3" max="3" width="15.73828125" customWidth="1"/>
    <col min="4" max="9" width="10.0859375" customWidth="1"/>
    <col min="10" max="10" width="14.796875" customWidth="1"/>
    <col min="11" max="11" width="14.390625" customWidth="1"/>
    <col min="12" max="12" width="14.796875" bestFit="1" customWidth="1"/>
    <col min="13" max="18" width="11.8359375" bestFit="1" customWidth="1"/>
    <col min="19" max="19" width="4.5703125" bestFit="1" customWidth="1"/>
  </cols>
  <sheetData>
    <row r="5" spans="2:12" ht="18" x14ac:dyDescent="0.2">
      <c r="B5" s="756" t="s">
        <v>512</v>
      </c>
      <c r="C5" s="756"/>
      <c r="D5" s="756"/>
      <c r="E5" s="756"/>
      <c r="F5" s="756"/>
      <c r="G5" s="756"/>
      <c r="H5" s="756"/>
      <c r="I5" s="756"/>
      <c r="J5" s="756"/>
    </row>
    <row r="6" spans="2:12" ht="16.5" x14ac:dyDescent="0.2">
      <c r="B6" s="8"/>
      <c r="C6" s="8"/>
      <c r="D6" s="8"/>
      <c r="E6" s="8"/>
      <c r="F6" s="8"/>
      <c r="G6" s="8"/>
      <c r="H6" s="8"/>
      <c r="I6" s="8"/>
      <c r="J6" s="8"/>
    </row>
    <row r="7" spans="2:12" x14ac:dyDescent="0.2">
      <c r="B7" s="73" t="s">
        <v>28</v>
      </c>
      <c r="C7" s="74" t="s">
        <v>323</v>
      </c>
      <c r="D7" s="74" t="s">
        <v>2</v>
      </c>
      <c r="E7" s="74" t="s">
        <v>3</v>
      </c>
      <c r="F7" s="74" t="s">
        <v>4</v>
      </c>
      <c r="G7" s="74" t="s">
        <v>5</v>
      </c>
      <c r="H7" s="74" t="s">
        <v>6</v>
      </c>
      <c r="I7" s="74" t="s">
        <v>163</v>
      </c>
      <c r="J7" s="74" t="s">
        <v>162</v>
      </c>
      <c r="L7" s="308"/>
    </row>
    <row r="8" spans="2:12" x14ac:dyDescent="0.2">
      <c r="B8" s="75"/>
      <c r="C8" s="75"/>
      <c r="D8" s="75"/>
      <c r="E8" s="75"/>
      <c r="F8" s="75"/>
      <c r="G8" s="75"/>
      <c r="H8" s="75"/>
      <c r="I8" s="75"/>
      <c r="J8" s="75"/>
    </row>
    <row r="9" spans="2:12" x14ac:dyDescent="0.2">
      <c r="B9" s="75" t="s">
        <v>29</v>
      </c>
      <c r="C9" s="75"/>
      <c r="D9" s="76">
        <f>'6.Cons Profit &amp; Loss'!B56</f>
        <v>14.486505461023778</v>
      </c>
      <c r="E9" s="76">
        <f>'6.Cons Profit &amp; Loss'!C56</f>
        <v>19.210718311499576</v>
      </c>
      <c r="F9" s="76">
        <f>'6.Cons Profit &amp; Loss'!D56</f>
        <v>25.124513910135114</v>
      </c>
      <c r="G9" s="76">
        <f>'6.Cons Profit &amp; Loss'!E56</f>
        <v>32.874741043477897</v>
      </c>
      <c r="H9" s="76">
        <f>'6.Cons Profit &amp; Loss'!F56</f>
        <v>37.656374384299575</v>
      </c>
      <c r="I9" s="76">
        <f>'6.Cons Profit &amp; Loss'!G56</f>
        <v>44.418554539115021</v>
      </c>
      <c r="J9" s="76">
        <f>'6.Cons Profit &amp; Loss'!H56</f>
        <v>52.889078210661459</v>
      </c>
    </row>
    <row r="10" spans="2:12" x14ac:dyDescent="0.2">
      <c r="B10" s="75"/>
      <c r="C10" s="75"/>
      <c r="D10" s="76"/>
      <c r="E10" s="76"/>
      <c r="F10" s="76"/>
      <c r="G10" s="76"/>
      <c r="H10" s="76"/>
      <c r="I10" s="76"/>
      <c r="J10" s="76"/>
    </row>
    <row r="11" spans="2:12" x14ac:dyDescent="0.2">
      <c r="B11" s="77" t="s">
        <v>30</v>
      </c>
      <c r="C11" s="77"/>
      <c r="D11" s="76">
        <f>'6.Cons Profit &amp; Loss'!B46</f>
        <v>5.4963037300000002</v>
      </c>
      <c r="E11" s="76">
        <f>'6.Cons Profit &amp; Loss'!C46</f>
        <v>5.4963037300000002</v>
      </c>
      <c r="F11" s="76">
        <f>'6.Cons Profit &amp; Loss'!D46</f>
        <v>5.4963037300000002</v>
      </c>
      <c r="G11" s="76">
        <f>'6.Cons Profit &amp; Loss'!E46</f>
        <v>5.4963037300000002</v>
      </c>
      <c r="H11" s="76">
        <f>'6.Cons Profit &amp; Loss'!F46</f>
        <v>5.4963037300000002</v>
      </c>
      <c r="I11" s="76">
        <f>'6.Cons Profit &amp; Loss'!G46</f>
        <v>5.4963037300000002</v>
      </c>
      <c r="J11" s="76">
        <f>'6.Cons Profit &amp; Loss'!H46</f>
        <v>5.4963037300000002</v>
      </c>
    </row>
    <row r="12" spans="2:12" x14ac:dyDescent="0.2">
      <c r="B12" s="75" t="s">
        <v>35</v>
      </c>
      <c r="C12" s="75"/>
      <c r="D12" s="76">
        <f>'6.Cons Profit &amp; Loss'!B47</f>
        <v>1.0099864285714286</v>
      </c>
      <c r="E12" s="76">
        <f>'6.Cons Profit &amp; Loss'!C47</f>
        <v>1.0099864285714286</v>
      </c>
      <c r="F12" s="76">
        <f>'6.Cons Profit &amp; Loss'!D47</f>
        <v>1.0099864285714286</v>
      </c>
      <c r="G12" s="76">
        <f>'6.Cons Profit &amp; Loss'!E47</f>
        <v>1.0099864285714286</v>
      </c>
      <c r="H12" s="76">
        <f>'6.Cons Profit &amp; Loss'!F47</f>
        <v>1.0099864285714286</v>
      </c>
      <c r="I12" s="76">
        <f>'6.Cons Profit &amp; Loss'!G47</f>
        <v>1.0099864285714286</v>
      </c>
      <c r="J12" s="76">
        <f>'6.Cons Profit &amp; Loss'!H47</f>
        <v>1.0099864285714286</v>
      </c>
    </row>
    <row r="13" spans="2:12" x14ac:dyDescent="0.2">
      <c r="B13" s="75"/>
      <c r="C13" s="75"/>
      <c r="D13" s="75"/>
      <c r="E13" s="75"/>
      <c r="F13" s="75"/>
      <c r="G13" s="75"/>
      <c r="H13" s="75"/>
      <c r="I13" s="75"/>
      <c r="J13" s="75"/>
    </row>
    <row r="14" spans="2:12" x14ac:dyDescent="0.2">
      <c r="B14" s="75" t="s">
        <v>31</v>
      </c>
      <c r="C14" s="75"/>
      <c r="D14" s="76">
        <f>SUM(D9:D12)</f>
        <v>20.992795619595206</v>
      </c>
      <c r="E14" s="76">
        <f t="shared" ref="E14:J14" si="0">SUM(E9:E12)</f>
        <v>25.717008470071008</v>
      </c>
      <c r="F14" s="76">
        <f t="shared" si="0"/>
        <v>31.630804068706546</v>
      </c>
      <c r="G14" s="76">
        <f t="shared" si="0"/>
        <v>39.381031202049328</v>
      </c>
      <c r="H14" s="76">
        <f t="shared" si="0"/>
        <v>44.162664542871006</v>
      </c>
      <c r="I14" s="76">
        <f t="shared" si="0"/>
        <v>50.924844697686453</v>
      </c>
      <c r="J14" s="76">
        <f t="shared" si="0"/>
        <v>59.395368369232891</v>
      </c>
    </row>
    <row r="15" spans="2:12" x14ac:dyDescent="0.2">
      <c r="B15" s="75" t="s">
        <v>332</v>
      </c>
      <c r="C15" s="680">
        <f>-'1.Project Cost and MOF'!D12</f>
        <v>-151.15890787827934</v>
      </c>
      <c r="D15" s="76">
        <f>D14</f>
        <v>20.992795619595206</v>
      </c>
      <c r="E15" s="76">
        <f t="shared" ref="E15:J15" si="1">E14</f>
        <v>25.717008470071008</v>
      </c>
      <c r="F15" s="76">
        <f t="shared" si="1"/>
        <v>31.630804068706546</v>
      </c>
      <c r="G15" s="76">
        <f t="shared" si="1"/>
        <v>39.381031202049328</v>
      </c>
      <c r="H15" s="76">
        <f t="shared" si="1"/>
        <v>44.162664542871006</v>
      </c>
      <c r="I15" s="76">
        <f t="shared" si="1"/>
        <v>50.924844697686453</v>
      </c>
      <c r="J15" s="76">
        <f t="shared" si="1"/>
        <v>59.395368369232891</v>
      </c>
    </row>
    <row r="16" spans="2:12" x14ac:dyDescent="0.2">
      <c r="B16" s="75" t="s">
        <v>271</v>
      </c>
      <c r="C16" s="228">
        <f>IRR(C15:J15)</f>
        <v>0.14286543778524741</v>
      </c>
      <c r="D16" s="76"/>
      <c r="E16" s="76"/>
      <c r="F16" s="76"/>
      <c r="G16" s="76"/>
      <c r="H16" s="76"/>
      <c r="I16" s="76"/>
      <c r="J16" s="76"/>
    </row>
    <row r="17" spans="2:19" x14ac:dyDescent="0.2">
      <c r="B17" s="75"/>
      <c r="C17" s="75"/>
      <c r="D17" s="75"/>
      <c r="E17" s="75"/>
      <c r="F17" s="75"/>
      <c r="G17" s="75"/>
      <c r="H17" s="75"/>
      <c r="I17" s="75"/>
      <c r="J17" s="75"/>
    </row>
    <row r="18" spans="2:19" ht="16.5" x14ac:dyDescent="0.2">
      <c r="B18" s="229" t="s">
        <v>390</v>
      </c>
      <c r="C18" s="229"/>
      <c r="D18" s="230">
        <f>1/(1+$C$16)</f>
        <v>0.87499364924176415</v>
      </c>
      <c r="E18" s="231">
        <f t="shared" ref="E18:J18" si="2">D18/(1+$C$16)</f>
        <v>0.76561388621341941</v>
      </c>
      <c r="F18" s="231">
        <f t="shared" si="2"/>
        <v>0.66990728820804868</v>
      </c>
      <c r="G18" s="231">
        <f t="shared" si="2"/>
        <v>0.58616462276281478</v>
      </c>
      <c r="H18" s="231">
        <f t="shared" si="2"/>
        <v>0.51289032232765741</v>
      </c>
      <c r="I18" s="231">
        <f t="shared" si="2"/>
        <v>0.44877577479426162</v>
      </c>
      <c r="J18" s="231">
        <f t="shared" si="2"/>
        <v>0.39267595287853108</v>
      </c>
      <c r="L18" s="17"/>
      <c r="M18" s="17"/>
      <c r="N18" s="17"/>
      <c r="O18" s="17"/>
      <c r="P18" s="17"/>
      <c r="Q18" s="17"/>
      <c r="R18" s="17"/>
      <c r="S18" s="17"/>
    </row>
    <row r="19" spans="2:19" x14ac:dyDescent="0.2">
      <c r="B19" s="75" t="s">
        <v>32</v>
      </c>
      <c r="C19" s="75"/>
      <c r="D19" s="76">
        <f t="shared" ref="D19:J19" si="3">D14*D18</f>
        <v>18.368562846976133</v>
      </c>
      <c r="E19" s="76">
        <f t="shared" si="3"/>
        <v>19.689298796554489</v>
      </c>
      <c r="F19" s="76">
        <f t="shared" si="3"/>
        <v>21.189706177507315</v>
      </c>
      <c r="G19" s="76">
        <f t="shared" si="3"/>
        <v>23.083767298559884</v>
      </c>
      <c r="H19" s="76">
        <f t="shared" si="3"/>
        <v>22.650603252241318</v>
      </c>
      <c r="I19" s="76">
        <f t="shared" si="3"/>
        <v>22.853836635481684</v>
      </c>
      <c r="J19" s="76">
        <f t="shared" si="3"/>
        <v>23.323132870959888</v>
      </c>
      <c r="L19" s="6"/>
    </row>
    <row r="20" spans="2:19" x14ac:dyDescent="0.2">
      <c r="B20" s="75" t="s">
        <v>33</v>
      </c>
      <c r="C20" s="75"/>
      <c r="D20" s="762">
        <f>SUM(D19:J19)</f>
        <v>151.1589078782807</v>
      </c>
      <c r="E20" s="762"/>
      <c r="F20" s="762"/>
      <c r="G20" s="762"/>
      <c r="H20" s="762"/>
      <c r="I20" s="762"/>
      <c r="J20" s="762"/>
      <c r="L20" s="6"/>
    </row>
    <row r="21" spans="2:19" x14ac:dyDescent="0.2">
      <c r="B21" s="75"/>
      <c r="C21" s="75"/>
      <c r="D21" s="76"/>
      <c r="E21" s="76"/>
      <c r="F21" s="76"/>
      <c r="G21" s="76"/>
      <c r="H21" s="76"/>
      <c r="I21" s="76"/>
      <c r="J21" s="76"/>
    </row>
    <row r="22" spans="2:19" x14ac:dyDescent="0.2">
      <c r="B22" s="9" t="s">
        <v>34</v>
      </c>
      <c r="C22" s="9"/>
      <c r="D22" s="763">
        <f>'1.Project Cost and MOF'!D12</f>
        <v>151.15890787827934</v>
      </c>
      <c r="E22" s="763"/>
      <c r="F22" s="763"/>
      <c r="G22" s="763"/>
      <c r="H22" s="763"/>
      <c r="I22" s="763"/>
      <c r="J22" s="763"/>
    </row>
    <row r="23" spans="2:19" x14ac:dyDescent="0.2">
      <c r="F23" s="17">
        <f>D20-D22</f>
        <v>1.3642420526593924E-12</v>
      </c>
    </row>
    <row r="24" spans="2:19" ht="29.45" customHeight="1" x14ac:dyDescent="0.2">
      <c r="B24" s="757" t="s">
        <v>408</v>
      </c>
      <c r="C24" s="757"/>
      <c r="D24" s="757"/>
      <c r="E24" s="757"/>
      <c r="F24" s="757"/>
      <c r="G24" s="757"/>
      <c r="H24" s="757"/>
      <c r="I24" s="757"/>
      <c r="J24" s="757"/>
    </row>
    <row r="25" spans="2:19" x14ac:dyDescent="0.2">
      <c r="K25" s="17"/>
      <c r="L25" s="17"/>
      <c r="M25" s="17"/>
    </row>
    <row r="26" spans="2:19" ht="18" x14ac:dyDescent="0.2">
      <c r="B26" s="704" t="s">
        <v>513</v>
      </c>
      <c r="C26" s="704"/>
      <c r="D26" s="704"/>
      <c r="E26" s="704"/>
      <c r="F26" s="704"/>
      <c r="G26" s="704"/>
      <c r="H26" s="704"/>
      <c r="I26" s="704"/>
    </row>
    <row r="27" spans="2:19" x14ac:dyDescent="0.2">
      <c r="K27" s="17"/>
    </row>
    <row r="28" spans="2:19" x14ac:dyDescent="0.2">
      <c r="B28" s="95" t="s">
        <v>0</v>
      </c>
      <c r="C28" s="88" t="s">
        <v>2</v>
      </c>
      <c r="D28" s="88" t="s">
        <v>3</v>
      </c>
      <c r="E28" s="88" t="s">
        <v>4</v>
      </c>
      <c r="F28" s="88" t="s">
        <v>5</v>
      </c>
      <c r="G28" s="88" t="s">
        <v>6</v>
      </c>
      <c r="H28" s="88" t="s">
        <v>163</v>
      </c>
      <c r="I28" s="88" t="s">
        <v>162</v>
      </c>
    </row>
    <row r="29" spans="2:19" x14ac:dyDescent="0.2">
      <c r="B29" s="79"/>
      <c r="C29" s="79"/>
      <c r="D29" s="79"/>
      <c r="E29" s="79"/>
      <c r="F29" s="79"/>
      <c r="G29" s="79"/>
      <c r="H29" s="79"/>
      <c r="I29" s="79"/>
    </row>
    <row r="30" spans="2:19" x14ac:dyDescent="0.2">
      <c r="B30" s="79" t="s">
        <v>26</v>
      </c>
      <c r="C30" s="79"/>
      <c r="D30" s="79"/>
      <c r="E30" s="79"/>
      <c r="F30" s="79"/>
      <c r="G30" s="79"/>
      <c r="H30" s="79"/>
      <c r="I30" s="79"/>
    </row>
    <row r="31" spans="2:19" x14ac:dyDescent="0.2">
      <c r="B31" s="79"/>
      <c r="C31" s="80"/>
      <c r="D31" s="80"/>
      <c r="E31" s="80"/>
      <c r="F31" s="80"/>
      <c r="G31" s="80"/>
      <c r="H31" s="80"/>
      <c r="I31" s="80"/>
    </row>
    <row r="32" spans="2:19" x14ac:dyDescent="0.2">
      <c r="B32" s="92" t="str">
        <f>'6.Cons Profit &amp; Loss'!A8</f>
        <v>Faclitiy 1 - Cleaning &amp; Grading</v>
      </c>
      <c r="C32" s="80">
        <f>'6.Cons Profit &amp; Loss'!B8</f>
        <v>0</v>
      </c>
      <c r="D32" s="80">
        <f>'6.Cons Profit &amp; Loss'!C8</f>
        <v>0</v>
      </c>
      <c r="E32" s="80">
        <f>'6.Cons Profit &amp; Loss'!D8</f>
        <v>0</v>
      </c>
      <c r="F32" s="80">
        <f>'6.Cons Profit &amp; Loss'!E8</f>
        <v>0</v>
      </c>
      <c r="G32" s="80">
        <f>'6.Cons Profit &amp; Loss'!F8</f>
        <v>0</v>
      </c>
      <c r="H32" s="80">
        <f>'6.Cons Profit &amp; Loss'!G8</f>
        <v>0</v>
      </c>
      <c r="I32" s="80">
        <f>'6.Cons Profit &amp; Loss'!H8</f>
        <v>0</v>
      </c>
    </row>
    <row r="33" spans="2:10" x14ac:dyDescent="0.2">
      <c r="B33" s="92" t="str">
        <f>'6.Cons Profit &amp; Loss'!A9</f>
        <v>Facility 6 - Processing Unit - Horti Commodity</v>
      </c>
      <c r="C33" s="80">
        <f>'6.Cons Profit &amp; Loss'!B9</f>
        <v>0</v>
      </c>
      <c r="D33" s="80">
        <f>'6.Cons Profit &amp; Loss'!C9</f>
        <v>0</v>
      </c>
      <c r="E33" s="80">
        <f>'6.Cons Profit &amp; Loss'!D9</f>
        <v>0</v>
      </c>
      <c r="F33" s="80">
        <f>'6.Cons Profit &amp; Loss'!E9</f>
        <v>0</v>
      </c>
      <c r="G33" s="80">
        <f>'6.Cons Profit &amp; Loss'!F9</f>
        <v>0</v>
      </c>
      <c r="H33" s="80">
        <f>'6.Cons Profit &amp; Loss'!G9</f>
        <v>0</v>
      </c>
      <c r="I33" s="80">
        <f>'6.Cons Profit &amp; Loss'!H9</f>
        <v>0</v>
      </c>
    </row>
    <row r="34" spans="2:10" x14ac:dyDescent="0.2">
      <c r="B34" s="92" t="str">
        <f>'6.Cons Profit &amp; Loss'!A10</f>
        <v>Faclitiy 3 - Warehouse</v>
      </c>
      <c r="C34" s="80">
        <f>'6.Cons Profit &amp; Loss'!B10</f>
        <v>0</v>
      </c>
      <c r="D34" s="80">
        <f>'6.Cons Profit &amp; Loss'!C10</f>
        <v>0</v>
      </c>
      <c r="E34" s="80">
        <f>'6.Cons Profit &amp; Loss'!D10</f>
        <v>0</v>
      </c>
      <c r="F34" s="80">
        <f>'6.Cons Profit &amp; Loss'!E10</f>
        <v>0</v>
      </c>
      <c r="G34" s="80">
        <f>'6.Cons Profit &amp; Loss'!F10</f>
        <v>0</v>
      </c>
      <c r="H34" s="80">
        <f>'6.Cons Profit &amp; Loss'!G10</f>
        <v>0</v>
      </c>
      <c r="I34" s="80">
        <f>'6.Cons Profit &amp; Loss'!H10</f>
        <v>0</v>
      </c>
    </row>
    <row r="35" spans="2:10" x14ac:dyDescent="0.2">
      <c r="B35" s="92" t="str">
        <f>'6.Cons Profit &amp; Loss'!A11</f>
        <v xml:space="preserve">Faclitiy 4 - Custom Hiring </v>
      </c>
      <c r="C35" s="80">
        <f>'6.Cons Profit &amp; Loss'!B11</f>
        <v>0</v>
      </c>
      <c r="D35" s="80">
        <f>'6.Cons Profit &amp; Loss'!C11</f>
        <v>0</v>
      </c>
      <c r="E35" s="80">
        <f>'6.Cons Profit &amp; Loss'!D11</f>
        <v>0</v>
      </c>
      <c r="F35" s="80">
        <f>'6.Cons Profit &amp; Loss'!E11</f>
        <v>0</v>
      </c>
      <c r="G35" s="80">
        <f>'6.Cons Profit &amp; Loss'!F11</f>
        <v>0</v>
      </c>
      <c r="H35" s="80">
        <f>'6.Cons Profit &amp; Loss'!G11</f>
        <v>0</v>
      </c>
      <c r="I35" s="80">
        <f>'6.Cons Profit &amp; Loss'!H11</f>
        <v>0</v>
      </c>
    </row>
    <row r="36" spans="2:10" x14ac:dyDescent="0.2">
      <c r="B36" s="92" t="str">
        <f>'6.Cons Profit &amp; Loss'!A12</f>
        <v>Faclitiy 5 - Agri Input Centre</v>
      </c>
      <c r="C36" s="80">
        <f>'6.Cons Profit &amp; Loss'!B12</f>
        <v>0</v>
      </c>
      <c r="D36" s="80">
        <f>'6.Cons Profit &amp; Loss'!C12</f>
        <v>0</v>
      </c>
      <c r="E36" s="80">
        <f>'6.Cons Profit &amp; Loss'!D12</f>
        <v>0</v>
      </c>
      <c r="F36" s="80">
        <f>'6.Cons Profit &amp; Loss'!E12</f>
        <v>0</v>
      </c>
      <c r="G36" s="80">
        <f>'6.Cons Profit &amp; Loss'!F12</f>
        <v>0</v>
      </c>
      <c r="H36" s="80">
        <f>'6.Cons Profit &amp; Loss'!G12</f>
        <v>0</v>
      </c>
      <c r="I36" s="80">
        <f>'6.Cons Profit &amp; Loss'!H12</f>
        <v>0</v>
      </c>
    </row>
    <row r="37" spans="2:10" x14ac:dyDescent="0.2">
      <c r="B37" s="92" t="str">
        <f>'6.Cons Profit &amp; Loss'!A13</f>
        <v>Faclitiy 2 - Processing Unit- Oil Mill</v>
      </c>
      <c r="C37" s="80">
        <f>+'6.Cons Profit &amp; Loss'!B56</f>
        <v>14.486505461023778</v>
      </c>
      <c r="D37" s="80">
        <f>+'6.Cons Profit &amp; Loss'!C56</f>
        <v>19.210718311499576</v>
      </c>
      <c r="E37" s="80">
        <f>+'6.Cons Profit &amp; Loss'!D56</f>
        <v>25.124513910135114</v>
      </c>
      <c r="F37" s="80">
        <f>+'6.Cons Profit &amp; Loss'!E56</f>
        <v>32.874741043477897</v>
      </c>
      <c r="G37" s="80">
        <f>+'6.Cons Profit &amp; Loss'!F56</f>
        <v>37.656374384299575</v>
      </c>
      <c r="H37" s="80">
        <f>+'6.Cons Profit &amp; Loss'!G56</f>
        <v>44.418554539115021</v>
      </c>
      <c r="I37" s="80">
        <f>+'6.Cons Profit &amp; Loss'!H56</f>
        <v>52.889078210661459</v>
      </c>
    </row>
    <row r="38" spans="2:10" x14ac:dyDescent="0.2">
      <c r="B38" s="92"/>
      <c r="C38" s="92"/>
      <c r="D38" s="92"/>
      <c r="E38" s="92"/>
      <c r="F38" s="92"/>
      <c r="G38" s="92"/>
      <c r="H38" s="92"/>
      <c r="I38" s="92"/>
    </row>
    <row r="39" spans="2:10" x14ac:dyDescent="0.2">
      <c r="B39" s="79" t="s">
        <v>26</v>
      </c>
      <c r="C39" s="80">
        <f>SUM(C32:C38)</f>
        <v>14.486505461023778</v>
      </c>
      <c r="D39" s="80">
        <f t="shared" ref="D39:I39" si="4">SUM(D32:D38)</f>
        <v>19.210718311499576</v>
      </c>
      <c r="E39" s="80">
        <f t="shared" si="4"/>
        <v>25.124513910135114</v>
      </c>
      <c r="F39" s="80">
        <f t="shared" si="4"/>
        <v>32.874741043477897</v>
      </c>
      <c r="G39" s="80">
        <f t="shared" si="4"/>
        <v>37.656374384299575</v>
      </c>
      <c r="H39" s="80">
        <f t="shared" si="4"/>
        <v>44.418554539115021</v>
      </c>
      <c r="I39" s="80">
        <f t="shared" si="4"/>
        <v>52.889078210661459</v>
      </c>
    </row>
    <row r="40" spans="2:10" x14ac:dyDescent="0.2">
      <c r="B40" s="79"/>
      <c r="C40" s="80"/>
      <c r="D40" s="80"/>
      <c r="E40" s="80"/>
      <c r="F40" s="80"/>
      <c r="G40" s="80"/>
      <c r="H40" s="80"/>
      <c r="I40" s="80"/>
    </row>
    <row r="41" spans="2:10" x14ac:dyDescent="0.2">
      <c r="B41" s="81" t="s">
        <v>38</v>
      </c>
      <c r="C41" s="97">
        <f>+'6.Cons Profit &amp; Loss'!B40+'6.Cons Profit &amp; Loss'!B46+'6.Cons Profit &amp; Loss'!B47+'6.Cons Profit &amp; Loss'!B52</f>
        <v>24.737805435706843</v>
      </c>
      <c r="D41" s="97">
        <f>+'6.Cons Profit &amp; Loss'!C40+'6.Cons Profit &amp; Loss'!C46+'6.Cons Profit &amp; Loss'!C47+'6.Cons Profit &amp; Loss'!C52</f>
        <v>26.13578685658706</v>
      </c>
      <c r="E41" s="97">
        <f>+'6.Cons Profit &amp; Loss'!D40+'6.Cons Profit &amp; Loss'!D46+'6.Cons Profit &amp; Loss'!D47+'6.Cons Profit &amp; Loss'!D52</f>
        <v>27.664899661305547</v>
      </c>
      <c r="F41" s="97">
        <f>+'6.Cons Profit &amp; Loss'!E40+'6.Cons Profit &amp; Loss'!E46+'6.Cons Profit &amp; Loss'!E47+'6.Cons Profit &amp; Loss'!E52</f>
        <v>29.363821577439651</v>
      </c>
      <c r="G41" s="97">
        <f>+'6.Cons Profit &amp; Loss'!F40+'6.Cons Profit &amp; Loss'!F46+'6.Cons Profit &amp; Loss'!F47+'6.Cons Profit &amp; Loss'!F52</f>
        <v>31.198743994186451</v>
      </c>
      <c r="H41" s="97">
        <f>+'6.Cons Profit &amp; Loss'!G40+'6.Cons Profit &amp; Loss'!G46+'6.Cons Profit &amp; Loss'!G47+'6.Cons Profit &amp; Loss'!G52</f>
        <v>33.223984039040445</v>
      </c>
      <c r="I41" s="97">
        <f>+'6.Cons Profit &amp; Loss'!H40+'6.Cons Profit &amp; Loss'!H46+'6.Cons Profit &amp; Loss'!H47+'6.Cons Profit &amp; Loss'!H52</f>
        <v>35.463240203887281</v>
      </c>
    </row>
    <row r="42" spans="2:10" x14ac:dyDescent="0.2">
      <c r="B42" s="81" t="s">
        <v>36</v>
      </c>
      <c r="C42" s="97">
        <f>+C39+C41</f>
        <v>39.224310896730621</v>
      </c>
      <c r="D42" s="97">
        <f t="shared" ref="D42:I42" si="5">+D39+D41</f>
        <v>45.346505168086637</v>
      </c>
      <c r="E42" s="97">
        <f t="shared" si="5"/>
        <v>52.789413571440662</v>
      </c>
      <c r="F42" s="97">
        <f t="shared" si="5"/>
        <v>62.238562620917548</v>
      </c>
      <c r="G42" s="97">
        <f t="shared" si="5"/>
        <v>68.855118378486026</v>
      </c>
      <c r="H42" s="97">
        <f t="shared" si="5"/>
        <v>77.642538578155467</v>
      </c>
      <c r="I42" s="97">
        <f t="shared" si="5"/>
        <v>88.352318414548733</v>
      </c>
    </row>
    <row r="43" spans="2:10" x14ac:dyDescent="0.2">
      <c r="B43" s="79"/>
      <c r="C43" s="79"/>
      <c r="D43" s="79"/>
      <c r="E43" s="79"/>
      <c r="F43" s="79"/>
      <c r="G43" s="79"/>
      <c r="H43" s="79"/>
      <c r="I43" s="79"/>
    </row>
    <row r="44" spans="2:10" x14ac:dyDescent="0.2">
      <c r="B44" s="79" t="s">
        <v>37</v>
      </c>
      <c r="C44" s="96">
        <f t="shared" ref="C44:I44" si="6">C41/C42</f>
        <v>0.63067533552944477</v>
      </c>
      <c r="D44" s="96">
        <f t="shared" si="6"/>
        <v>0.57635724648920816</v>
      </c>
      <c r="E44" s="96">
        <f t="shared" si="6"/>
        <v>0.52406150759500758</v>
      </c>
      <c r="F44" s="96">
        <f t="shared" si="6"/>
        <v>0.47179466139487714</v>
      </c>
      <c r="G44" s="96">
        <f t="shared" si="6"/>
        <v>0.45310711431344491</v>
      </c>
      <c r="H44" s="96">
        <f t="shared" si="6"/>
        <v>0.42790955380209489</v>
      </c>
      <c r="I44" s="96">
        <f t="shared" si="6"/>
        <v>0.40138437610084998</v>
      </c>
    </row>
    <row r="45" spans="2:10" x14ac:dyDescent="0.2">
      <c r="B45" s="78"/>
      <c r="C45" s="78"/>
      <c r="D45" s="78"/>
      <c r="E45" s="78"/>
      <c r="F45" s="78"/>
      <c r="G45" s="78"/>
      <c r="H45" s="78"/>
      <c r="I45" s="78"/>
    </row>
    <row r="46" spans="2:10" x14ac:dyDescent="0.2">
      <c r="B46" s="98" t="s">
        <v>129</v>
      </c>
      <c r="C46" s="99">
        <f>AVERAGE(C44:I44)</f>
        <v>0.49789854217498963</v>
      </c>
      <c r="D46" s="78"/>
      <c r="E46" s="78"/>
      <c r="F46" s="78"/>
      <c r="G46" s="78"/>
      <c r="H46" s="78"/>
      <c r="I46" s="78"/>
    </row>
    <row r="48" spans="2:10" ht="41.45" customHeight="1" x14ac:dyDescent="0.2">
      <c r="B48" s="767" t="s">
        <v>409</v>
      </c>
      <c r="C48" s="767"/>
      <c r="D48" s="767"/>
      <c r="E48" s="767"/>
      <c r="F48" s="767"/>
      <c r="G48" s="767"/>
      <c r="H48" s="767"/>
      <c r="I48" s="767"/>
      <c r="J48" s="611"/>
    </row>
    <row r="51" spans="2:9" ht="18" x14ac:dyDescent="0.2">
      <c r="B51" s="704" t="s">
        <v>514</v>
      </c>
      <c r="C51" s="704"/>
      <c r="D51" s="704"/>
      <c r="E51" s="704"/>
      <c r="F51" s="704"/>
      <c r="G51" s="704"/>
      <c r="H51" s="704"/>
      <c r="I51" s="704"/>
    </row>
    <row r="53" spans="2:9" x14ac:dyDescent="0.2">
      <c r="B53" s="69" t="s">
        <v>28</v>
      </c>
      <c r="C53" s="70" t="s">
        <v>2</v>
      </c>
      <c r="D53" s="70" t="s">
        <v>3</v>
      </c>
      <c r="E53" s="70" t="s">
        <v>4</v>
      </c>
      <c r="F53" s="70" t="s">
        <v>5</v>
      </c>
      <c r="G53" s="70" t="s">
        <v>6</v>
      </c>
      <c r="H53" s="70" t="s">
        <v>163</v>
      </c>
      <c r="I53" s="70" t="s">
        <v>162</v>
      </c>
    </row>
    <row r="54" spans="2:9" x14ac:dyDescent="0.2">
      <c r="B54" s="79"/>
      <c r="C54" s="79"/>
      <c r="D54" s="79"/>
      <c r="E54" s="79"/>
      <c r="F54" s="79"/>
      <c r="G54" s="79"/>
      <c r="H54" s="79"/>
      <c r="I54" s="79"/>
    </row>
    <row r="55" spans="2:9" x14ac:dyDescent="0.2">
      <c r="B55" s="79" t="s">
        <v>363</v>
      </c>
      <c r="C55" s="517">
        <f>'6.Cons Profit &amp; Loss'!B56</f>
        <v>14.486505461023778</v>
      </c>
      <c r="D55" s="517">
        <f>'6.Cons Profit &amp; Loss'!C56</f>
        <v>19.210718311499576</v>
      </c>
      <c r="E55" s="517">
        <f>'6.Cons Profit &amp; Loss'!D56</f>
        <v>25.124513910135114</v>
      </c>
      <c r="F55" s="517">
        <f>'6.Cons Profit &amp; Loss'!E56</f>
        <v>32.874741043477897</v>
      </c>
      <c r="G55" s="517">
        <f>'6.Cons Profit &amp; Loss'!F56</f>
        <v>37.656374384299575</v>
      </c>
      <c r="H55" s="517">
        <f>'6.Cons Profit &amp; Loss'!G56</f>
        <v>44.418554539115021</v>
      </c>
      <c r="I55" s="517">
        <f>'6.Cons Profit &amp; Loss'!H56</f>
        <v>52.889078210661459</v>
      </c>
    </row>
    <row r="56" spans="2:9" x14ac:dyDescent="0.2">
      <c r="B56" s="79"/>
      <c r="C56" s="517"/>
      <c r="D56" s="517"/>
      <c r="E56" s="517"/>
      <c r="F56" s="517"/>
      <c r="G56" s="517"/>
      <c r="H56" s="517"/>
      <c r="I56" s="517"/>
    </row>
    <row r="57" spans="2:9" x14ac:dyDescent="0.2">
      <c r="B57" s="79" t="s">
        <v>39</v>
      </c>
      <c r="C57" s="517">
        <f>'6.Cons Profit &amp; Loss'!B46</f>
        <v>5.4963037300000002</v>
      </c>
      <c r="D57" s="517">
        <f>'6.Cons Profit &amp; Loss'!C46</f>
        <v>5.4963037300000002</v>
      </c>
      <c r="E57" s="517">
        <f>'6.Cons Profit &amp; Loss'!D46</f>
        <v>5.4963037300000002</v>
      </c>
      <c r="F57" s="517">
        <f>'6.Cons Profit &amp; Loss'!E46</f>
        <v>5.4963037300000002</v>
      </c>
      <c r="G57" s="517">
        <f>'6.Cons Profit &amp; Loss'!F46</f>
        <v>5.4963037300000002</v>
      </c>
      <c r="H57" s="517">
        <f>'6.Cons Profit &amp; Loss'!G46</f>
        <v>5.4963037300000002</v>
      </c>
      <c r="I57" s="517">
        <f>'6.Cons Profit &amp; Loss'!H46</f>
        <v>5.4963037300000002</v>
      </c>
    </row>
    <row r="58" spans="2:9" x14ac:dyDescent="0.2">
      <c r="B58" s="91" t="s">
        <v>45</v>
      </c>
      <c r="C58" s="517">
        <f>'6.Cons Profit &amp; Loss'!B47</f>
        <v>1.0099864285714286</v>
      </c>
      <c r="D58" s="517">
        <f>'6.Cons Profit &amp; Loss'!C47</f>
        <v>1.0099864285714286</v>
      </c>
      <c r="E58" s="517">
        <f>'6.Cons Profit &amp; Loss'!D47</f>
        <v>1.0099864285714286</v>
      </c>
      <c r="F58" s="517">
        <f>'6.Cons Profit &amp; Loss'!E47</f>
        <v>1.0099864285714286</v>
      </c>
      <c r="G58" s="517">
        <f>'6.Cons Profit &amp; Loss'!F47</f>
        <v>1.0099864285714286</v>
      </c>
      <c r="H58" s="517">
        <f>'6.Cons Profit &amp; Loss'!G47</f>
        <v>1.0099864285714286</v>
      </c>
      <c r="I58" s="517">
        <f>'6.Cons Profit &amp; Loss'!H47</f>
        <v>1.0099864285714286</v>
      </c>
    </row>
    <row r="59" spans="2:9" x14ac:dyDescent="0.2">
      <c r="B59" s="79"/>
      <c r="C59" s="517"/>
      <c r="D59" s="517"/>
      <c r="E59" s="517"/>
      <c r="F59" s="517"/>
      <c r="G59" s="517"/>
      <c r="H59" s="517"/>
      <c r="I59" s="517"/>
    </row>
    <row r="60" spans="2:9" x14ac:dyDescent="0.2">
      <c r="B60" s="79" t="s">
        <v>31</v>
      </c>
      <c r="C60" s="517">
        <f>SUM(C55:C58)</f>
        <v>20.992795619595206</v>
      </c>
      <c r="D60" s="517">
        <f t="shared" ref="D60:I60" si="7">SUM(D55:D58)</f>
        <v>25.717008470071008</v>
      </c>
      <c r="E60" s="517">
        <f t="shared" si="7"/>
        <v>31.630804068706546</v>
      </c>
      <c r="F60" s="517">
        <f t="shared" si="7"/>
        <v>39.381031202049328</v>
      </c>
      <c r="G60" s="517">
        <f t="shared" si="7"/>
        <v>44.162664542871006</v>
      </c>
      <c r="H60" s="517">
        <f t="shared" si="7"/>
        <v>50.924844697686453</v>
      </c>
      <c r="I60" s="517">
        <f t="shared" si="7"/>
        <v>59.395368369232891</v>
      </c>
    </row>
    <row r="61" spans="2:9" x14ac:dyDescent="0.2">
      <c r="B61" s="79"/>
      <c r="C61" s="517"/>
      <c r="D61" s="517"/>
      <c r="E61" s="517"/>
      <c r="F61" s="517"/>
      <c r="G61" s="517"/>
      <c r="H61" s="517"/>
      <c r="I61" s="517"/>
    </row>
    <row r="62" spans="2:9" ht="16.5" x14ac:dyDescent="0.2">
      <c r="B62" s="11" t="s">
        <v>40</v>
      </c>
      <c r="C62" s="517">
        <f>1/1.1</f>
        <v>0.90909090909090906</v>
      </c>
      <c r="D62" s="517">
        <f t="shared" ref="D62:I62" si="8">C62/1.1</f>
        <v>0.82644628099173545</v>
      </c>
      <c r="E62" s="517">
        <f t="shared" si="8"/>
        <v>0.75131480090157765</v>
      </c>
      <c r="F62" s="517">
        <f t="shared" si="8"/>
        <v>0.68301345536507052</v>
      </c>
      <c r="G62" s="517">
        <f t="shared" si="8"/>
        <v>0.62092132305915493</v>
      </c>
      <c r="H62" s="517">
        <f t="shared" si="8"/>
        <v>0.56447393005377711</v>
      </c>
      <c r="I62" s="517">
        <f t="shared" si="8"/>
        <v>0.51315811823070645</v>
      </c>
    </row>
    <row r="63" spans="2:9" x14ac:dyDescent="0.2">
      <c r="B63" s="79"/>
      <c r="C63" s="517"/>
      <c r="D63" s="517"/>
      <c r="E63" s="517"/>
      <c r="F63" s="517"/>
      <c r="G63" s="517"/>
      <c r="H63" s="517"/>
      <c r="I63" s="517"/>
    </row>
    <row r="64" spans="2:9" ht="16.5" x14ac:dyDescent="0.2">
      <c r="B64" s="11" t="s">
        <v>41</v>
      </c>
      <c r="C64" s="518">
        <f>C60*C62</f>
        <v>19.084359654177458</v>
      </c>
      <c r="D64" s="518">
        <f t="shared" ref="D64:I64" si="9">D60*D62</f>
        <v>21.253726008323145</v>
      </c>
      <c r="E64" s="518">
        <f t="shared" si="9"/>
        <v>23.764691261237072</v>
      </c>
      <c r="F64" s="518">
        <f t="shared" si="9"/>
        <v>26.897774197151367</v>
      </c>
      <c r="G64" s="518">
        <f t="shared" si="9"/>
        <v>27.421540097777093</v>
      </c>
      <c r="H64" s="518">
        <f t="shared" si="9"/>
        <v>28.745747223881324</v>
      </c>
      <c r="I64" s="518">
        <f t="shared" si="9"/>
        <v>30.479215463975173</v>
      </c>
    </row>
    <row r="65" spans="2:10" x14ac:dyDescent="0.2">
      <c r="B65" s="78"/>
      <c r="C65" s="94"/>
      <c r="D65" s="94"/>
      <c r="E65" s="94"/>
      <c r="F65" s="94"/>
      <c r="G65" s="94"/>
      <c r="H65" s="94"/>
      <c r="I65" s="94"/>
    </row>
    <row r="66" spans="2:10" ht="16.5" x14ac:dyDescent="0.2">
      <c r="B66" s="12" t="s">
        <v>42</v>
      </c>
      <c r="C66" s="94">
        <f>SUM(C64:I64)</f>
        <v>177.64705390652264</v>
      </c>
      <c r="D66" s="94"/>
      <c r="E66" s="94"/>
      <c r="F66" s="94"/>
      <c r="G66" s="94"/>
      <c r="H66" s="94"/>
      <c r="I66" s="94"/>
    </row>
    <row r="67" spans="2:10" x14ac:dyDescent="0.2">
      <c r="B67" s="78"/>
      <c r="C67" s="94"/>
      <c r="D67" s="94"/>
      <c r="E67" s="94"/>
      <c r="F67" s="94"/>
      <c r="G67" s="94"/>
      <c r="H67" s="94"/>
      <c r="I67" s="94"/>
    </row>
    <row r="68" spans="2:10" ht="16.5" x14ac:dyDescent="0.2">
      <c r="B68" s="12" t="s">
        <v>43</v>
      </c>
      <c r="C68" s="94">
        <f>'1.Project Cost and MOF'!D12</f>
        <v>151.15890787827934</v>
      </c>
      <c r="D68" s="94"/>
      <c r="E68" s="94"/>
      <c r="F68" s="94"/>
      <c r="G68" s="94"/>
      <c r="H68" s="94"/>
      <c r="I68" s="94"/>
    </row>
    <row r="69" spans="2:10" x14ac:dyDescent="0.2">
      <c r="B69" s="78"/>
      <c r="C69" s="93"/>
      <c r="D69" s="78"/>
      <c r="E69" s="78"/>
      <c r="F69" s="78"/>
      <c r="G69" s="78"/>
      <c r="H69" s="78"/>
      <c r="I69" s="78"/>
    </row>
    <row r="70" spans="2:10" ht="16.5" x14ac:dyDescent="0.2">
      <c r="B70" s="12" t="s">
        <v>44</v>
      </c>
      <c r="C70" s="93">
        <f>C66-C68</f>
        <v>26.488146028243307</v>
      </c>
      <c r="D70" s="78"/>
      <c r="E70" s="78"/>
      <c r="F70" s="78"/>
      <c r="G70" s="78"/>
      <c r="H70" s="78"/>
      <c r="I70" s="78"/>
    </row>
    <row r="72" spans="2:10" ht="35.1" customHeight="1" x14ac:dyDescent="0.2">
      <c r="B72" s="712" t="s">
        <v>410</v>
      </c>
      <c r="C72" s="712"/>
      <c r="D72" s="712"/>
      <c r="E72" s="712"/>
      <c r="F72" s="712"/>
      <c r="G72" s="712"/>
      <c r="H72" s="712"/>
      <c r="I72" s="712"/>
      <c r="J72" s="606"/>
    </row>
    <row r="73" spans="2:10" ht="18" x14ac:dyDescent="0.2">
      <c r="B73" s="704" t="s">
        <v>515</v>
      </c>
      <c r="C73" s="704"/>
      <c r="D73" s="704"/>
      <c r="E73" s="704"/>
      <c r="F73" s="704"/>
      <c r="G73" s="704"/>
      <c r="H73" s="704"/>
      <c r="I73" s="704"/>
    </row>
    <row r="74" spans="2:10" x14ac:dyDescent="0.2">
      <c r="B74" s="78"/>
      <c r="C74" s="78"/>
      <c r="D74" s="78"/>
      <c r="E74" s="78"/>
      <c r="F74" s="78"/>
      <c r="G74" s="78"/>
      <c r="H74" s="78"/>
      <c r="I74" s="78"/>
    </row>
    <row r="75" spans="2:10" x14ac:dyDescent="0.2">
      <c r="B75" s="60" t="s">
        <v>0</v>
      </c>
      <c r="C75" s="60" t="s">
        <v>2</v>
      </c>
      <c r="D75" s="60" t="s">
        <v>3</v>
      </c>
      <c r="E75" s="60" t="s">
        <v>4</v>
      </c>
      <c r="F75" s="60" t="s">
        <v>5</v>
      </c>
      <c r="G75" s="60" t="s">
        <v>6</v>
      </c>
      <c r="H75" s="60" t="s">
        <v>163</v>
      </c>
      <c r="I75" s="60" t="s">
        <v>162</v>
      </c>
    </row>
    <row r="76" spans="2:10" x14ac:dyDescent="0.2">
      <c r="B76" s="58"/>
      <c r="C76" s="59"/>
      <c r="D76" s="59"/>
      <c r="E76" s="59"/>
      <c r="F76" s="59"/>
      <c r="G76" s="59"/>
      <c r="H76" s="59"/>
      <c r="I76" s="59"/>
    </row>
    <row r="77" spans="2:10" x14ac:dyDescent="0.2">
      <c r="B77" s="81" t="s">
        <v>26</v>
      </c>
      <c r="C77" s="80">
        <f>'6.Cons Profit &amp; Loss'!B56</f>
        <v>14.486505461023778</v>
      </c>
      <c r="D77" s="80">
        <f>'6.Cons Profit &amp; Loss'!C56</f>
        <v>19.210718311499576</v>
      </c>
      <c r="E77" s="80">
        <f>'6.Cons Profit &amp; Loss'!D56</f>
        <v>25.124513910135114</v>
      </c>
      <c r="F77" s="80">
        <f>'6.Cons Profit &amp; Loss'!E56</f>
        <v>32.874741043477897</v>
      </c>
      <c r="G77" s="80">
        <f>'6.Cons Profit &amp; Loss'!F56</f>
        <v>37.656374384299575</v>
      </c>
      <c r="H77" s="80">
        <f>'6.Cons Profit &amp; Loss'!G56</f>
        <v>44.418554539115021</v>
      </c>
      <c r="I77" s="80">
        <f>'6.Cons Profit &amp; Loss'!H56</f>
        <v>52.889078210661459</v>
      </c>
    </row>
    <row r="78" spans="2:10" x14ac:dyDescent="0.2">
      <c r="B78" s="79"/>
      <c r="C78" s="79"/>
      <c r="D78" s="79"/>
      <c r="E78" s="79"/>
      <c r="F78" s="79"/>
      <c r="G78" s="79"/>
      <c r="H78" s="79"/>
      <c r="I78" s="79"/>
    </row>
    <row r="79" spans="2:10" x14ac:dyDescent="0.2">
      <c r="B79" s="81" t="s">
        <v>121</v>
      </c>
      <c r="C79" s="765">
        <f>AVERAGE(C77:I77)</f>
        <v>32.380069408601777</v>
      </c>
      <c r="D79" s="765"/>
      <c r="E79" s="765"/>
      <c r="F79" s="765"/>
      <c r="G79" s="765"/>
      <c r="H79" s="765"/>
      <c r="I79" s="765"/>
    </row>
    <row r="80" spans="2:10" x14ac:dyDescent="0.2">
      <c r="B80" s="81" t="s">
        <v>122</v>
      </c>
      <c r="C80" s="765">
        <f>'1.Project Cost and MOF'!D12</f>
        <v>151.15890787827934</v>
      </c>
      <c r="D80" s="765"/>
      <c r="E80" s="765"/>
      <c r="F80" s="765"/>
      <c r="G80" s="765"/>
      <c r="H80" s="765"/>
      <c r="I80" s="765"/>
    </row>
    <row r="81" spans="2:10" x14ac:dyDescent="0.2">
      <c r="B81" s="79"/>
      <c r="C81" s="79"/>
      <c r="D81" s="79"/>
      <c r="E81" s="79"/>
      <c r="F81" s="79"/>
      <c r="G81" s="79"/>
      <c r="H81" s="79"/>
      <c r="I81" s="79"/>
    </row>
    <row r="82" spans="2:10" x14ac:dyDescent="0.2">
      <c r="B82" s="227" t="s">
        <v>123</v>
      </c>
      <c r="C82" s="766">
        <f>C79/C80</f>
        <v>0.21421211533676743</v>
      </c>
      <c r="D82" s="766"/>
      <c r="E82" s="766"/>
      <c r="F82" s="766"/>
      <c r="G82" s="766"/>
      <c r="H82" s="766"/>
      <c r="I82" s="766"/>
    </row>
    <row r="85" spans="2:10" x14ac:dyDescent="0.2">
      <c r="B85" s="764" t="s">
        <v>411</v>
      </c>
      <c r="C85" s="764"/>
      <c r="D85" s="764"/>
      <c r="E85" s="764"/>
      <c r="F85" s="764"/>
      <c r="G85" s="764"/>
      <c r="H85" s="764"/>
      <c r="I85" s="764"/>
    </row>
    <row r="87" spans="2:10" ht="18" x14ac:dyDescent="0.2">
      <c r="B87" s="704" t="s">
        <v>516</v>
      </c>
      <c r="C87" s="704"/>
      <c r="D87" s="704"/>
      <c r="E87" s="704"/>
      <c r="F87" s="704"/>
      <c r="G87" s="704"/>
      <c r="H87" s="704"/>
      <c r="I87" s="704"/>
      <c r="J87" s="704"/>
    </row>
    <row r="89" spans="2:10" x14ac:dyDescent="0.2">
      <c r="B89" s="88" t="s">
        <v>0</v>
      </c>
      <c r="C89" s="88" t="s">
        <v>323</v>
      </c>
      <c r="D89" s="88" t="s">
        <v>2</v>
      </c>
      <c r="E89" s="88" t="s">
        <v>3</v>
      </c>
      <c r="F89" s="88" t="s">
        <v>4</v>
      </c>
      <c r="G89" s="88" t="s">
        <v>5</v>
      </c>
      <c r="H89" s="88" t="s">
        <v>6</v>
      </c>
      <c r="I89" s="88" t="s">
        <v>163</v>
      </c>
      <c r="J89" s="88" t="s">
        <v>162</v>
      </c>
    </row>
    <row r="90" spans="2:10" x14ac:dyDescent="0.2">
      <c r="B90" s="89"/>
      <c r="C90" s="89"/>
      <c r="D90" s="90"/>
      <c r="E90" s="90"/>
      <c r="F90" s="90"/>
      <c r="G90" s="90"/>
      <c r="H90" s="90"/>
      <c r="I90" s="90"/>
      <c r="J90" s="90"/>
    </row>
    <row r="91" spans="2:10" x14ac:dyDescent="0.2">
      <c r="B91" s="23" t="s">
        <v>272</v>
      </c>
      <c r="C91" s="519">
        <f>'1.Project Cost and MOF'!D12</f>
        <v>151.15890787827934</v>
      </c>
      <c r="D91" s="520"/>
      <c r="E91" s="520"/>
      <c r="F91" s="520"/>
      <c r="G91" s="520"/>
      <c r="H91" s="520"/>
      <c r="I91" s="520"/>
      <c r="J91" s="520"/>
    </row>
    <row r="92" spans="2:10" x14ac:dyDescent="0.2">
      <c r="B92" s="24" t="str">
        <f>B55</f>
        <v>Profit after Tax &amp; Dividend</v>
      </c>
      <c r="C92" s="521"/>
      <c r="D92" s="522">
        <f>'6.Cons Profit &amp; Loss'!B56</f>
        <v>14.486505461023778</v>
      </c>
      <c r="E92" s="522">
        <f>'6.Cons Profit &amp; Loss'!C56</f>
        <v>19.210718311499576</v>
      </c>
      <c r="F92" s="522">
        <f>'6.Cons Profit &amp; Loss'!D56</f>
        <v>25.124513910135114</v>
      </c>
      <c r="G92" s="522">
        <f>'6.Cons Profit &amp; Loss'!E56</f>
        <v>32.874741043477897</v>
      </c>
      <c r="H92" s="522">
        <f>'6.Cons Profit &amp; Loss'!F56</f>
        <v>37.656374384299575</v>
      </c>
      <c r="I92" s="522">
        <f>'6.Cons Profit &amp; Loss'!G56</f>
        <v>44.418554539115021</v>
      </c>
      <c r="J92" s="522">
        <f>'6.Cons Profit &amp; Loss'!H56</f>
        <v>52.889078210661459</v>
      </c>
    </row>
    <row r="93" spans="2:10" x14ac:dyDescent="0.2">
      <c r="B93" s="24" t="str">
        <f>B57</f>
        <v>Add: Deprication</v>
      </c>
      <c r="C93" s="521"/>
      <c r="D93" s="523">
        <f>'6.Cons Profit &amp; Loss'!B46</f>
        <v>5.4963037300000002</v>
      </c>
      <c r="E93" s="523">
        <f>'6.Cons Profit &amp; Loss'!C46</f>
        <v>5.4963037300000002</v>
      </c>
      <c r="F93" s="523">
        <f>'6.Cons Profit &amp; Loss'!D46</f>
        <v>5.4963037300000002</v>
      </c>
      <c r="G93" s="523">
        <f>'6.Cons Profit &amp; Loss'!E46</f>
        <v>5.4963037300000002</v>
      </c>
      <c r="H93" s="523">
        <f>'6.Cons Profit &amp; Loss'!F46</f>
        <v>5.4963037300000002</v>
      </c>
      <c r="I93" s="523">
        <f>'6.Cons Profit &amp; Loss'!G46</f>
        <v>5.4963037300000002</v>
      </c>
      <c r="J93" s="523">
        <f>'6.Cons Profit &amp; Loss'!H46</f>
        <v>5.4963037300000002</v>
      </c>
    </row>
    <row r="94" spans="2:10" x14ac:dyDescent="0.2">
      <c r="B94" s="24" t="str">
        <f>B58</f>
        <v>Add. Preliminary exp Written off</v>
      </c>
      <c r="C94" s="521"/>
      <c r="D94" s="523">
        <f>'6.Cons Profit &amp; Loss'!B47</f>
        <v>1.0099864285714286</v>
      </c>
      <c r="E94" s="523">
        <f>'6.Cons Profit &amp; Loss'!C47</f>
        <v>1.0099864285714286</v>
      </c>
      <c r="F94" s="523">
        <f>'6.Cons Profit &amp; Loss'!D47</f>
        <v>1.0099864285714286</v>
      </c>
      <c r="G94" s="523">
        <f>'6.Cons Profit &amp; Loss'!E47</f>
        <v>1.0099864285714286</v>
      </c>
      <c r="H94" s="523">
        <f>'6.Cons Profit &amp; Loss'!F47</f>
        <v>1.0099864285714286</v>
      </c>
      <c r="I94" s="523">
        <f>'6.Cons Profit &amp; Loss'!G47</f>
        <v>1.0099864285714286</v>
      </c>
      <c r="J94" s="523">
        <f>'6.Cons Profit &amp; Loss'!H47</f>
        <v>1.0099864285714286</v>
      </c>
    </row>
    <row r="95" spans="2:10" x14ac:dyDescent="0.2">
      <c r="B95" s="24" t="str">
        <f>B60</f>
        <v xml:space="preserve">Net Cash Accrual (A)      </v>
      </c>
      <c r="C95" s="521"/>
      <c r="D95" s="521">
        <f>SUM(D92:D94)</f>
        <v>20.992795619595206</v>
      </c>
      <c r="E95" s="521">
        <f t="shared" ref="E95:J95" si="10">SUM(E92:E94)</f>
        <v>25.717008470071008</v>
      </c>
      <c r="F95" s="521">
        <f t="shared" si="10"/>
        <v>31.630804068706546</v>
      </c>
      <c r="G95" s="521">
        <f t="shared" si="10"/>
        <v>39.381031202049328</v>
      </c>
      <c r="H95" s="521">
        <f t="shared" si="10"/>
        <v>44.162664542871006</v>
      </c>
      <c r="I95" s="521">
        <f t="shared" si="10"/>
        <v>50.924844697686453</v>
      </c>
      <c r="J95" s="521">
        <f t="shared" si="10"/>
        <v>59.395368369232891</v>
      </c>
    </row>
    <row r="96" spans="2:10" x14ac:dyDescent="0.2">
      <c r="B96" s="23" t="s">
        <v>273</v>
      </c>
      <c r="C96" s="524"/>
      <c r="D96" s="525">
        <f>D95-C91</f>
        <v>-130.16611225868414</v>
      </c>
      <c r="E96" s="525">
        <f>D96+E95</f>
        <v>-104.44910378861313</v>
      </c>
      <c r="F96" s="525">
        <f>E96+F95</f>
        <v>-72.818299719906577</v>
      </c>
      <c r="G96" s="525">
        <f>F96+G95</f>
        <v>-33.437268517857248</v>
      </c>
      <c r="H96" s="525">
        <f>G96+H95</f>
        <v>10.725396025013758</v>
      </c>
      <c r="I96" s="526"/>
      <c r="J96" s="526"/>
    </row>
    <row r="97" spans="2:10" x14ac:dyDescent="0.2">
      <c r="B97" s="7"/>
      <c r="C97" s="7"/>
      <c r="D97" s="7"/>
      <c r="E97" s="7"/>
      <c r="F97" s="7"/>
      <c r="G97" s="7"/>
      <c r="H97" s="7"/>
      <c r="I97" s="7"/>
      <c r="J97" s="7"/>
    </row>
    <row r="98" spans="2:10" x14ac:dyDescent="0.2">
      <c r="B98" s="25" t="s">
        <v>274</v>
      </c>
      <c r="C98" s="7"/>
      <c r="D98" s="53">
        <f>4+(-G96/H95)</f>
        <v>4.7571388380653064</v>
      </c>
      <c r="E98" s="7"/>
      <c r="F98" s="7"/>
      <c r="G98" s="7"/>
      <c r="H98" s="7"/>
      <c r="I98" s="7"/>
      <c r="J98" s="7"/>
    </row>
    <row r="99" spans="2:10" x14ac:dyDescent="0.2">
      <c r="B99" s="7"/>
      <c r="C99" s="7"/>
      <c r="D99" s="7"/>
      <c r="E99" s="7"/>
      <c r="F99" s="7"/>
      <c r="G99" s="7"/>
      <c r="H99" s="7"/>
      <c r="I99" s="7"/>
      <c r="J99" s="7"/>
    </row>
    <row r="100" spans="2:10" x14ac:dyDescent="0.2">
      <c r="B100" s="764" t="s">
        <v>412</v>
      </c>
      <c r="C100" s="764"/>
      <c r="D100" s="764"/>
      <c r="E100" s="764"/>
      <c r="F100" s="764"/>
      <c r="G100" s="764"/>
      <c r="H100" s="764"/>
      <c r="I100" s="764"/>
      <c r="J100" s="764"/>
    </row>
    <row r="102" spans="2:10" ht="18" x14ac:dyDescent="0.2">
      <c r="B102" s="704" t="s">
        <v>517</v>
      </c>
      <c r="C102" s="704"/>
      <c r="D102" s="704"/>
      <c r="E102" s="704"/>
      <c r="F102" s="704"/>
      <c r="G102" s="704"/>
      <c r="H102" s="704"/>
      <c r="I102" s="704"/>
    </row>
    <row r="104" spans="2:10" x14ac:dyDescent="0.2">
      <c r="B104" s="60" t="s">
        <v>0</v>
      </c>
      <c r="C104" s="60" t="s">
        <v>2</v>
      </c>
      <c r="D104" s="60" t="s">
        <v>3</v>
      </c>
      <c r="E104" s="60" t="s">
        <v>4</v>
      </c>
      <c r="F104" s="60" t="s">
        <v>5</v>
      </c>
      <c r="G104" s="60" t="s">
        <v>6</v>
      </c>
      <c r="H104" s="60" t="s">
        <v>163</v>
      </c>
      <c r="I104" s="60" t="s">
        <v>162</v>
      </c>
    </row>
    <row r="105" spans="2:10" x14ac:dyDescent="0.2">
      <c r="B105" s="58"/>
      <c r="C105" s="59"/>
      <c r="D105" s="59"/>
      <c r="E105" s="59"/>
      <c r="F105" s="59"/>
      <c r="G105" s="59"/>
      <c r="H105" s="59"/>
      <c r="I105" s="59"/>
    </row>
    <row r="106" spans="2:10" x14ac:dyDescent="0.2">
      <c r="B106" s="79" t="s">
        <v>326</v>
      </c>
      <c r="C106" s="80">
        <f>+'6.Cons Profit &amp; Loss'!B58</f>
        <v>8.6919032766142656</v>
      </c>
      <c r="D106" s="80">
        <f>+'6.Cons Profit &amp; Loss'!C58</f>
        <v>11.526430986899745</v>
      </c>
      <c r="E106" s="80">
        <f>+'6.Cons Profit &amp; Loss'!D58</f>
        <v>15.074708346081067</v>
      </c>
      <c r="F106" s="80">
        <f>+'6.Cons Profit &amp; Loss'!E58</f>
        <v>19.724844626086735</v>
      </c>
      <c r="G106" s="80">
        <f>+'6.Cons Profit &amp; Loss'!F58</f>
        <v>22.593824630579746</v>
      </c>
      <c r="H106" s="80">
        <f>+'6.Cons Profit &amp; Loss'!G58</f>
        <v>26.651132723469011</v>
      </c>
      <c r="I106" s="80">
        <f>+'6.Cons Profit &amp; Loss'!H58</f>
        <v>31.733446926396873</v>
      </c>
    </row>
    <row r="107" spans="2:10" x14ac:dyDescent="0.2">
      <c r="B107" s="79" t="s">
        <v>336</v>
      </c>
      <c r="C107" s="80">
        <f>'6.Cons Profit &amp; Loss'!B46</f>
        <v>5.4963037300000002</v>
      </c>
      <c r="D107" s="80">
        <f>'6.Cons Profit &amp; Loss'!C46</f>
        <v>5.4963037300000002</v>
      </c>
      <c r="E107" s="80">
        <f>'6.Cons Profit &amp; Loss'!D46</f>
        <v>5.4963037300000002</v>
      </c>
      <c r="F107" s="80">
        <f>'6.Cons Profit &amp; Loss'!E46</f>
        <v>5.4963037300000002</v>
      </c>
      <c r="G107" s="80">
        <f>'6.Cons Profit &amp; Loss'!F46</f>
        <v>5.4963037300000002</v>
      </c>
      <c r="H107" s="80">
        <f>'6.Cons Profit &amp; Loss'!G46</f>
        <v>5.4963037300000002</v>
      </c>
      <c r="I107" s="80">
        <f>'6.Cons Profit &amp; Loss'!H46</f>
        <v>5.4963037300000002</v>
      </c>
    </row>
    <row r="108" spans="2:10" x14ac:dyDescent="0.2">
      <c r="B108" s="79" t="s">
        <v>337</v>
      </c>
      <c r="C108" s="80">
        <f>'6.Cons Profit &amp; Loss'!B47</f>
        <v>1.0099864285714286</v>
      </c>
      <c r="D108" s="80">
        <f>'6.Cons Profit &amp; Loss'!C47</f>
        <v>1.0099864285714286</v>
      </c>
      <c r="E108" s="80">
        <f>'6.Cons Profit &amp; Loss'!D47</f>
        <v>1.0099864285714286</v>
      </c>
      <c r="F108" s="80">
        <f>'6.Cons Profit &amp; Loss'!E47</f>
        <v>1.0099864285714286</v>
      </c>
      <c r="G108" s="80">
        <f>'6.Cons Profit &amp; Loss'!F47</f>
        <v>1.0099864285714286</v>
      </c>
      <c r="H108" s="80">
        <f>'6.Cons Profit &amp; Loss'!G47</f>
        <v>1.0099864285714286</v>
      </c>
      <c r="I108" s="80">
        <f>'6.Cons Profit &amp; Loss'!H47</f>
        <v>1.0099864285714286</v>
      </c>
    </row>
    <row r="109" spans="2:10" x14ac:dyDescent="0.2">
      <c r="B109" s="79" t="s">
        <v>338</v>
      </c>
      <c r="C109" s="80">
        <f>'8.Cash Flow '!C28</f>
        <v>2.603779167534269</v>
      </c>
      <c r="D109" s="80">
        <f>'8.Cash Flow '!D28</f>
        <v>2.0193371979630812</v>
      </c>
      <c r="E109" s="80">
        <f>'8.Cash Flow '!E28</f>
        <v>1.2780459446005072</v>
      </c>
      <c r="F109" s="80">
        <f>'8.Cash Flow '!F28</f>
        <v>0.46721645848935545</v>
      </c>
      <c r="G109" s="80">
        <f>'8.Cash Flow '!G28</f>
        <v>2.3980817331903381E-14</v>
      </c>
      <c r="H109" s="80">
        <f>'8.Cash Flow '!H28</f>
        <v>2.3980817331903381E-14</v>
      </c>
      <c r="I109" s="80">
        <f>'8.Cash Flow '!I28</f>
        <v>2.3980817331903381E-14</v>
      </c>
    </row>
    <row r="110" spans="2:10" x14ac:dyDescent="0.2">
      <c r="B110" s="81" t="s">
        <v>1</v>
      </c>
      <c r="C110" s="82">
        <f>SUM(C106:C109)</f>
        <v>17.801972602719964</v>
      </c>
      <c r="D110" s="82">
        <f t="shared" ref="D110:I110" si="11">SUM(D106:D109)</f>
        <v>20.052058343434254</v>
      </c>
      <c r="E110" s="82">
        <f t="shared" si="11"/>
        <v>22.859044449253005</v>
      </c>
      <c r="F110" s="82">
        <f t="shared" si="11"/>
        <v>26.698351243147521</v>
      </c>
      <c r="G110" s="82">
        <f t="shared" si="11"/>
        <v>29.100114789151203</v>
      </c>
      <c r="H110" s="82">
        <f t="shared" si="11"/>
        <v>33.157422882040464</v>
      </c>
      <c r="I110" s="82">
        <f t="shared" si="11"/>
        <v>38.239737084968326</v>
      </c>
    </row>
    <row r="111" spans="2:10" x14ac:dyDescent="0.2">
      <c r="B111" s="79"/>
      <c r="C111" s="79"/>
      <c r="D111" s="79"/>
      <c r="E111" s="79"/>
      <c r="F111" s="79"/>
      <c r="G111" s="79"/>
      <c r="H111" s="79"/>
      <c r="I111" s="79"/>
    </row>
    <row r="112" spans="2:10" x14ac:dyDescent="0.2">
      <c r="B112" s="83" t="s">
        <v>275</v>
      </c>
      <c r="C112" s="84">
        <f>'8.Cash Flow '!C27+'8.Cash Flow '!C28</f>
        <v>6.2970360055124583</v>
      </c>
      <c r="D112" s="84">
        <f>'8.Cash Flow '!D27+'8.Cash Flow '!D28</f>
        <v>9.9216479210249187</v>
      </c>
      <c r="E112" s="84">
        <f>'8.Cash Flow '!E27+'8.Cash Flow '!E28</f>
        <v>9.9216479210249169</v>
      </c>
      <c r="F112" s="84">
        <f>'8.Cash Flow '!F27+'8.Cash Flow '!F28</f>
        <v>9.9216479210249169</v>
      </c>
      <c r="G112" s="84">
        <f>'8.Cash Flow '!G27+'8.Cash Flow '!G28</f>
        <v>4.7961634663806763E-14</v>
      </c>
      <c r="H112" s="84">
        <f>'8.Cash Flow '!H27+'8.Cash Flow '!H28</f>
        <v>4.7961634663806763E-14</v>
      </c>
      <c r="I112" s="84">
        <f>'8.Cash Flow '!I27+'8.Cash Flow '!I28</f>
        <v>4.7961634663806763E-14</v>
      </c>
    </row>
    <row r="113" spans="2:18" x14ac:dyDescent="0.2">
      <c r="B113" s="79"/>
      <c r="C113" s="79"/>
      <c r="D113" s="79"/>
      <c r="E113" s="79"/>
      <c r="F113" s="79"/>
      <c r="G113" s="79"/>
      <c r="H113" s="79"/>
      <c r="I113" s="79"/>
    </row>
    <row r="114" spans="2:18" x14ac:dyDescent="0.2">
      <c r="B114" s="85" t="s">
        <v>324</v>
      </c>
      <c r="C114" s="86">
        <f>C110/C112</f>
        <v>2.8270399894706055</v>
      </c>
      <c r="D114" s="86">
        <f t="shared" ref="D114:F114" si="12">D110/D112</f>
        <v>2.0210411116223979</v>
      </c>
      <c r="E114" s="86">
        <f t="shared" si="12"/>
        <v>2.3039564224822486</v>
      </c>
      <c r="F114" s="86">
        <f t="shared" si="12"/>
        <v>2.6909190343845171</v>
      </c>
      <c r="G114" s="86">
        <v>0</v>
      </c>
      <c r="H114" s="86">
        <v>0</v>
      </c>
      <c r="I114" s="86">
        <v>0</v>
      </c>
    </row>
    <row r="115" spans="2:18" x14ac:dyDescent="0.2">
      <c r="B115" s="78"/>
      <c r="C115" s="78"/>
      <c r="D115" s="78"/>
      <c r="E115" s="78"/>
      <c r="F115" s="78"/>
      <c r="G115" s="78"/>
      <c r="H115" s="78"/>
      <c r="I115" s="78"/>
    </row>
    <row r="116" spans="2:18" x14ac:dyDescent="0.2">
      <c r="B116" s="78" t="s">
        <v>325</v>
      </c>
      <c r="C116" s="87">
        <f>AVERAGE(C114:F114)</f>
        <v>2.4607391394899421</v>
      </c>
      <c r="D116" s="78"/>
      <c r="E116" s="78"/>
      <c r="F116" s="78"/>
      <c r="G116" s="78"/>
      <c r="H116" s="78"/>
      <c r="I116" s="78"/>
    </row>
    <row r="118" spans="2:18" ht="29.45" customHeight="1" x14ac:dyDescent="0.2">
      <c r="B118" s="712" t="s">
        <v>413</v>
      </c>
      <c r="C118" s="712"/>
      <c r="D118" s="712"/>
      <c r="E118" s="712"/>
      <c r="F118" s="712"/>
      <c r="G118" s="712"/>
      <c r="H118" s="712"/>
      <c r="I118" s="712"/>
      <c r="J118" s="712"/>
    </row>
    <row r="120" spans="2:18" ht="21" x14ac:dyDescent="0.3">
      <c r="B120" s="759" t="s">
        <v>518</v>
      </c>
      <c r="C120" s="760"/>
      <c r="D120" s="760"/>
      <c r="E120" s="760"/>
      <c r="F120" s="760"/>
      <c r="G120" s="760"/>
      <c r="H120" s="760"/>
      <c r="I120" s="760"/>
      <c r="K120" s="761"/>
      <c r="L120" s="761"/>
      <c r="M120" s="761"/>
      <c r="N120" s="761"/>
      <c r="O120" s="761"/>
      <c r="P120" s="761"/>
      <c r="Q120" s="761"/>
      <c r="R120" s="761"/>
    </row>
    <row r="121" spans="2:18" x14ac:dyDescent="0.2">
      <c r="B121" s="69" t="s">
        <v>339</v>
      </c>
      <c r="C121" s="70" t="s">
        <v>2</v>
      </c>
      <c r="D121" s="70" t="s">
        <v>3</v>
      </c>
      <c r="E121" s="70" t="s">
        <v>4</v>
      </c>
      <c r="F121" s="70" t="s">
        <v>5</v>
      </c>
      <c r="G121" s="70" t="s">
        <v>6</v>
      </c>
      <c r="H121" s="70" t="s">
        <v>163</v>
      </c>
      <c r="I121" s="70" t="s">
        <v>162</v>
      </c>
    </row>
    <row r="122" spans="2:18" x14ac:dyDescent="0.2">
      <c r="B122" s="61" t="str">
        <f>'6.Cons Profit &amp; Loss'!A8</f>
        <v>Faclitiy 1 - Cleaning &amp; Grading</v>
      </c>
      <c r="C122" s="285">
        <f>'6.Cons Profit &amp; Loss'!B8*(1+$M$123)</f>
        <v>0</v>
      </c>
      <c r="D122" s="285">
        <f>'6.Cons Profit &amp; Loss'!C8*(1+$M$123)</f>
        <v>0</v>
      </c>
      <c r="E122" s="285">
        <f>'6.Cons Profit &amp; Loss'!D8*(1+$M$123)</f>
        <v>0</v>
      </c>
      <c r="F122" s="285">
        <f>'6.Cons Profit &amp; Loss'!E8*(1+$M$123)</f>
        <v>0</v>
      </c>
      <c r="G122" s="285">
        <f>'6.Cons Profit &amp; Loss'!F8*(1+$M$123)</f>
        <v>0</v>
      </c>
      <c r="H122" s="285">
        <f>'6.Cons Profit &amp; Loss'!G8*(1+$M$123)</f>
        <v>0</v>
      </c>
      <c r="I122" s="285">
        <f>'6.Cons Profit &amp; Loss'!H8*(1+$M$123)</f>
        <v>0</v>
      </c>
    </row>
    <row r="123" spans="2:18" x14ac:dyDescent="0.2">
      <c r="B123" s="61" t="str">
        <f>'6.Cons Profit &amp; Loss'!A9</f>
        <v>Facility 6 - Processing Unit - Horti Commodity</v>
      </c>
      <c r="C123" s="285">
        <f>'6.Cons Profit &amp; Loss'!B9*(1+$M$123)</f>
        <v>0</v>
      </c>
      <c r="D123" s="285">
        <f>'6.Cons Profit &amp; Loss'!C9*(1+$M$123)</f>
        <v>0</v>
      </c>
      <c r="E123" s="285">
        <f>'6.Cons Profit &amp; Loss'!D9*(1+$M$123)</f>
        <v>0</v>
      </c>
      <c r="F123" s="285">
        <f>'6.Cons Profit &amp; Loss'!E9*(1+$M$123)</f>
        <v>0</v>
      </c>
      <c r="G123" s="285">
        <f>'6.Cons Profit &amp; Loss'!F9*(1+$M$123)</f>
        <v>0</v>
      </c>
      <c r="H123" s="285">
        <f>'6.Cons Profit &amp; Loss'!G9*(1+$M$123)</f>
        <v>0</v>
      </c>
      <c r="I123" s="285">
        <f>'6.Cons Profit &amp; Loss'!H9*(1+$M$123)</f>
        <v>0</v>
      </c>
      <c r="L123" s="5" t="s">
        <v>358</v>
      </c>
      <c r="M123" s="235">
        <v>0.05</v>
      </c>
    </row>
    <row r="124" spans="2:18" x14ac:dyDescent="0.2">
      <c r="B124" s="61" t="str">
        <f>'6.Cons Profit &amp; Loss'!A10</f>
        <v>Faclitiy 3 - Warehouse</v>
      </c>
      <c r="C124" s="285">
        <f>'6.Cons Profit &amp; Loss'!B10*(1+$M$123)</f>
        <v>0</v>
      </c>
      <c r="D124" s="285">
        <f>'6.Cons Profit &amp; Loss'!C10*(1+$M$123)</f>
        <v>0</v>
      </c>
      <c r="E124" s="285">
        <f>'6.Cons Profit &amp; Loss'!D10*(1+$M$123)</f>
        <v>0</v>
      </c>
      <c r="F124" s="285">
        <f>'6.Cons Profit &amp; Loss'!E10*(1+$M$123)</f>
        <v>0</v>
      </c>
      <c r="G124" s="285">
        <f>'6.Cons Profit &amp; Loss'!F10*(1+$M$123)</f>
        <v>0</v>
      </c>
      <c r="H124" s="285">
        <f>'6.Cons Profit &amp; Loss'!G10*(1+$M$123)</f>
        <v>0</v>
      </c>
      <c r="I124" s="285">
        <f>'6.Cons Profit &amp; Loss'!H10*(1+$M$123)</f>
        <v>0</v>
      </c>
      <c r="L124" s="5" t="s">
        <v>359</v>
      </c>
      <c r="M124" s="235">
        <v>0.05</v>
      </c>
    </row>
    <row r="125" spans="2:18" x14ac:dyDescent="0.2">
      <c r="B125" s="61" t="str">
        <f>'6.Cons Profit &amp; Loss'!A11</f>
        <v xml:space="preserve">Faclitiy 4 - Custom Hiring </v>
      </c>
      <c r="C125" s="285">
        <f>'6.Cons Profit &amp; Loss'!B11*(1+$M$123)</f>
        <v>0</v>
      </c>
      <c r="D125" s="285">
        <f>'6.Cons Profit &amp; Loss'!C11*(1+$M$123)</f>
        <v>0</v>
      </c>
      <c r="E125" s="285">
        <f>'6.Cons Profit &amp; Loss'!D11*(1+$M$123)</f>
        <v>0</v>
      </c>
      <c r="F125" s="285">
        <f>'6.Cons Profit &amp; Loss'!E11*(1+$M$123)</f>
        <v>0</v>
      </c>
      <c r="G125" s="285">
        <f>'6.Cons Profit &amp; Loss'!F11*(1+$M$123)</f>
        <v>0</v>
      </c>
      <c r="H125" s="285">
        <f>'6.Cons Profit &amp; Loss'!G11*(1+$M$123)</f>
        <v>0</v>
      </c>
      <c r="I125" s="285">
        <f>'6.Cons Profit &amp; Loss'!H11*(1+$M$123)</f>
        <v>0</v>
      </c>
    </row>
    <row r="126" spans="2:18" x14ac:dyDescent="0.2">
      <c r="B126" s="61" t="str">
        <f>'6.Cons Profit &amp; Loss'!A12</f>
        <v>Faclitiy 5 - Agri Input Centre</v>
      </c>
      <c r="C126" s="285">
        <f>'6.Cons Profit &amp; Loss'!B12*(1+$M$123)</f>
        <v>0</v>
      </c>
      <c r="D126" s="285">
        <f>'6.Cons Profit &amp; Loss'!C12*(1+$M$123)</f>
        <v>0</v>
      </c>
      <c r="E126" s="285">
        <f>'6.Cons Profit &amp; Loss'!D12*(1+$M$123)</f>
        <v>0</v>
      </c>
      <c r="F126" s="285">
        <f>'6.Cons Profit &amp; Loss'!E12*(1+$M$123)</f>
        <v>0</v>
      </c>
      <c r="G126" s="285">
        <f>'6.Cons Profit &amp; Loss'!F12*(1+$M$123)</f>
        <v>0</v>
      </c>
      <c r="H126" s="285">
        <f>'6.Cons Profit &amp; Loss'!G12*(1+$M$123)</f>
        <v>0</v>
      </c>
      <c r="I126" s="285">
        <f>'6.Cons Profit &amp; Loss'!H12*(1+$M$123)</f>
        <v>0</v>
      </c>
    </row>
    <row r="127" spans="2:18" x14ac:dyDescent="0.2">
      <c r="B127" s="61" t="str">
        <f>'6.Cons Profit &amp; Loss'!A13</f>
        <v>Faclitiy 2 - Processing Unit- Oil Mill</v>
      </c>
      <c r="C127" s="285">
        <f>+SUM('6.Cons Profit &amp; Loss'!B13:B15)*(1+$M$123)</f>
        <v>237.31463923611111</v>
      </c>
      <c r="D127" s="285">
        <f>+SUM('6.Cons Profit &amp; Loss'!C13:C15)*(1+$M$123)</f>
        <v>276.86487500000004</v>
      </c>
      <c r="E127" s="285">
        <f>+SUM('6.Cons Profit &amp; Loss'!D13:D15)*(1+$M$123)</f>
        <v>320.61953884722232</v>
      </c>
      <c r="F127" s="285">
        <f>+SUM('6.Cons Profit &amp; Loss'!E13:E15)*(1+$M$123)</f>
        <v>369.80567934722228</v>
      </c>
      <c r="G127" s="285">
        <f>+SUM('6.Cons Profit &amp; Loss'!F13:F15)*(1+$M$123)</f>
        <v>418.22968961788206</v>
      </c>
      <c r="H127" s="285">
        <f>+SUM('6.Cons Profit &amp; Loss'!G13:G15)*(1+$M$123)</f>
        <v>473.21823716598959</v>
      </c>
      <c r="I127" s="285">
        <f>+SUM('6.Cons Profit &amp; Loss'!H13:H15)*(1+$M$123)</f>
        <v>534.64727760340497</v>
      </c>
    </row>
    <row r="128" spans="2:18" x14ac:dyDescent="0.2">
      <c r="B128" s="61" t="s">
        <v>806</v>
      </c>
      <c r="C128" s="285">
        <f>+'6.Cons Profit &amp; Loss'!B18-'6.Cons Profit &amp; Loss'!B17</f>
        <v>5.5755439814814807</v>
      </c>
      <c r="D128" s="285">
        <f>+'6.Cons Profit &amp; Loss'!C18-'6.Cons Profit &amp; Loss'!C17</f>
        <v>6.7944375000000008</v>
      </c>
      <c r="E128" s="285">
        <f>+'6.Cons Profit &amp; Loss'!D18-'6.Cons Profit &amp; Loss'!D17</f>
        <v>8.2842935185185169</v>
      </c>
      <c r="F128" s="285">
        <f>+'6.Cons Profit &amp; Loss'!E18-'6.Cons Profit &amp; Loss'!E17</f>
        <v>9.9164379629629629</v>
      </c>
      <c r="G128" s="285">
        <f>+'6.Cons Profit &amp; Loss'!F18-'6.Cons Profit &amp; Loss'!F17</f>
        <v>11.507197222222214</v>
      </c>
      <c r="H128" s="285">
        <f>+'6.Cons Profit &amp; Loss'!G18-'6.Cons Profit &amp; Loss'!G17</f>
        <v>13.315015740740741</v>
      </c>
      <c r="I128" s="285">
        <f>+'6.Cons Profit &amp; Loss'!H18-'6.Cons Profit &amp; Loss'!H17</f>
        <v>15.518365740740755</v>
      </c>
    </row>
    <row r="129" spans="2:9" x14ac:dyDescent="0.2">
      <c r="B129" s="61" t="s">
        <v>340</v>
      </c>
      <c r="C129" s="285">
        <f t="shared" ref="C129:I129" si="13">SUM(C122:C128)</f>
        <v>242.89018321759258</v>
      </c>
      <c r="D129" s="285">
        <f t="shared" si="13"/>
        <v>283.65931250000006</v>
      </c>
      <c r="E129" s="285">
        <f t="shared" si="13"/>
        <v>328.90383236574081</v>
      </c>
      <c r="F129" s="285">
        <f t="shared" si="13"/>
        <v>379.72211731018524</v>
      </c>
      <c r="G129" s="285">
        <f t="shared" si="13"/>
        <v>429.73688684010426</v>
      </c>
      <c r="H129" s="285">
        <f t="shared" si="13"/>
        <v>486.53325290673035</v>
      </c>
      <c r="I129" s="285">
        <f t="shared" si="13"/>
        <v>550.16564334414568</v>
      </c>
    </row>
    <row r="130" spans="2:9" x14ac:dyDescent="0.2">
      <c r="B130" s="61" t="s">
        <v>341</v>
      </c>
      <c r="C130" s="285"/>
      <c r="D130" s="285"/>
      <c r="E130" s="285"/>
      <c r="F130" s="285"/>
      <c r="G130" s="285"/>
      <c r="H130" s="285"/>
      <c r="I130" s="285"/>
    </row>
    <row r="131" spans="2:9" x14ac:dyDescent="0.2">
      <c r="B131" s="61" t="s">
        <v>342</v>
      </c>
      <c r="C131" s="285">
        <f>'6.Cons Profit &amp; Loss'!B40</f>
        <v>17.5049715</v>
      </c>
      <c r="D131" s="285">
        <f>'6.Cons Profit &amp; Loss'!C40</f>
        <v>18.378720075000004</v>
      </c>
      <c r="E131" s="285">
        <f>'6.Cons Profit &amp; Loss'!D40</f>
        <v>19.296156078750002</v>
      </c>
      <c r="F131" s="285">
        <f>'6.Cons Profit &amp; Loss'!E40</f>
        <v>20.259463882687506</v>
      </c>
      <c r="G131" s="285">
        <f>'6.Cons Profit &amp; Loss'!F40</f>
        <v>21.27093707682188</v>
      </c>
      <c r="H131" s="285">
        <f>'6.Cons Profit &amp; Loss'!G40</f>
        <v>22.332983930662976</v>
      </c>
      <c r="I131" s="285">
        <f>'6.Cons Profit &amp; Loss'!H40</f>
        <v>23.448133127196122</v>
      </c>
    </row>
    <row r="132" spans="2:9" x14ac:dyDescent="0.2">
      <c r="B132" s="61" t="s">
        <v>301</v>
      </c>
      <c r="C132" s="285">
        <f>'6.Cons Profit &amp; Loss'!B29*(1+M123)</f>
        <v>197.68576826250001</v>
      </c>
      <c r="D132" s="285">
        <f>'6.Cons Profit &amp; Loss'!C29*(1+N123)</f>
        <v>219.32260249999999</v>
      </c>
      <c r="E132" s="285">
        <f>'6.Cons Profit &amp; Loss'!D29*(1+O123)</f>
        <v>253.14285475</v>
      </c>
      <c r="F132" s="285">
        <f>'6.Cons Profit &amp; Loss'!E29*(1+P123)</f>
        <v>289.76320366666658</v>
      </c>
      <c r="G132" s="285">
        <f>'6.Cons Profit &amp; Loss'!F29*(1+Q123)</f>
        <v>329.20692924999997</v>
      </c>
      <c r="H132" s="285">
        <f>'6.Cons Profit &amp; Loss'!G29*(1+R123)</f>
        <v>371.83707149999998</v>
      </c>
      <c r="I132" s="285">
        <f>'6.Cons Profit &amp; Loss'!H29*(1+S123)</f>
        <v>418.51902041666671</v>
      </c>
    </row>
    <row r="133" spans="2:9" x14ac:dyDescent="0.2">
      <c r="B133" s="61" t="s">
        <v>343</v>
      </c>
      <c r="C133" s="285">
        <f t="shared" ref="C133:I133" si="14">SUM(C131:C132)</f>
        <v>215.19073976250002</v>
      </c>
      <c r="D133" s="285">
        <f t="shared" si="14"/>
        <v>237.70132257500001</v>
      </c>
      <c r="E133" s="285">
        <f t="shared" si="14"/>
        <v>272.43901082874999</v>
      </c>
      <c r="F133" s="285">
        <f t="shared" si="14"/>
        <v>310.02266754935408</v>
      </c>
      <c r="G133" s="285">
        <f t="shared" si="14"/>
        <v>350.47786632682187</v>
      </c>
      <c r="H133" s="285">
        <f t="shared" si="14"/>
        <v>394.17005543066296</v>
      </c>
      <c r="I133" s="285">
        <f t="shared" si="14"/>
        <v>441.96715354386282</v>
      </c>
    </row>
    <row r="134" spans="2:9" x14ac:dyDescent="0.2">
      <c r="B134" s="64" t="s">
        <v>344</v>
      </c>
      <c r="C134" s="286">
        <f t="shared" ref="C134:I134" si="15">+C129-C133</f>
        <v>27.699443455092563</v>
      </c>
      <c r="D134" s="286">
        <f t="shared" si="15"/>
        <v>45.957989925000049</v>
      </c>
      <c r="E134" s="286">
        <f t="shared" si="15"/>
        <v>56.464821536990826</v>
      </c>
      <c r="F134" s="286">
        <f t="shared" si="15"/>
        <v>69.699449760831158</v>
      </c>
      <c r="G134" s="286">
        <f t="shared" si="15"/>
        <v>79.259020513282394</v>
      </c>
      <c r="H134" s="286">
        <f t="shared" si="15"/>
        <v>92.363197476067398</v>
      </c>
      <c r="I134" s="286">
        <f t="shared" si="15"/>
        <v>108.19848980028286</v>
      </c>
    </row>
    <row r="135" spans="2:9" x14ac:dyDescent="0.2">
      <c r="B135" s="66"/>
      <c r="C135" s="67"/>
      <c r="D135" s="67"/>
      <c r="E135" s="67"/>
      <c r="F135" s="67"/>
      <c r="G135" s="67"/>
      <c r="H135" s="67"/>
      <c r="I135" s="67"/>
    </row>
    <row r="136" spans="2:9" x14ac:dyDescent="0.2">
      <c r="B136" s="69" t="s">
        <v>345</v>
      </c>
      <c r="C136" s="70" t="s">
        <v>2</v>
      </c>
      <c r="D136" s="70" t="s">
        <v>3</v>
      </c>
      <c r="E136" s="70" t="s">
        <v>4</v>
      </c>
      <c r="F136" s="70" t="s">
        <v>5</v>
      </c>
      <c r="G136" s="70" t="s">
        <v>6</v>
      </c>
      <c r="H136" s="70" t="s">
        <v>163</v>
      </c>
      <c r="I136" s="70" t="s">
        <v>162</v>
      </c>
    </row>
    <row r="137" spans="2:9" x14ac:dyDescent="0.2">
      <c r="B137" s="61" t="str">
        <f t="shared" ref="B137:B142" si="16">B122</f>
        <v>Faclitiy 1 - Cleaning &amp; Grading</v>
      </c>
      <c r="C137" s="63">
        <f>'6.Cons Profit &amp; Loss'!B8</f>
        <v>0</v>
      </c>
      <c r="D137" s="63">
        <f>'6.Cons Profit &amp; Loss'!C8</f>
        <v>0</v>
      </c>
      <c r="E137" s="63">
        <f>'6.Cons Profit &amp; Loss'!D8</f>
        <v>0</v>
      </c>
      <c r="F137" s="63">
        <f>'6.Cons Profit &amp; Loss'!E8</f>
        <v>0</v>
      </c>
      <c r="G137" s="63">
        <f>'6.Cons Profit &amp; Loss'!F8</f>
        <v>0</v>
      </c>
      <c r="H137" s="63">
        <f>'6.Cons Profit &amp; Loss'!G8</f>
        <v>0</v>
      </c>
      <c r="I137" s="63">
        <f>'6.Cons Profit &amp; Loss'!H8</f>
        <v>0</v>
      </c>
    </row>
    <row r="138" spans="2:9" x14ac:dyDescent="0.2">
      <c r="B138" s="61" t="str">
        <f t="shared" si="16"/>
        <v>Facility 6 - Processing Unit - Horti Commodity</v>
      </c>
      <c r="C138" s="63">
        <f>'6.Cons Profit &amp; Loss'!B9</f>
        <v>0</v>
      </c>
      <c r="D138" s="63">
        <f>'6.Cons Profit &amp; Loss'!C9</f>
        <v>0</v>
      </c>
      <c r="E138" s="63">
        <f>'6.Cons Profit &amp; Loss'!D9</f>
        <v>0</v>
      </c>
      <c r="F138" s="63">
        <f>'6.Cons Profit &amp; Loss'!E9</f>
        <v>0</v>
      </c>
      <c r="G138" s="63">
        <f>'6.Cons Profit &amp; Loss'!F9</f>
        <v>0</v>
      </c>
      <c r="H138" s="63">
        <f>'6.Cons Profit &amp; Loss'!G9</f>
        <v>0</v>
      </c>
      <c r="I138" s="63">
        <f>'6.Cons Profit &amp; Loss'!H9</f>
        <v>0</v>
      </c>
    </row>
    <row r="139" spans="2:9" x14ac:dyDescent="0.2">
      <c r="B139" s="61" t="str">
        <f t="shared" si="16"/>
        <v>Faclitiy 3 - Warehouse</v>
      </c>
      <c r="C139" s="63">
        <f>'6.Cons Profit &amp; Loss'!B10</f>
        <v>0</v>
      </c>
      <c r="D139" s="63">
        <f>'6.Cons Profit &amp; Loss'!C10</f>
        <v>0</v>
      </c>
      <c r="E139" s="63">
        <f>'6.Cons Profit &amp; Loss'!D10</f>
        <v>0</v>
      </c>
      <c r="F139" s="63">
        <f>'6.Cons Profit &amp; Loss'!E10</f>
        <v>0</v>
      </c>
      <c r="G139" s="63">
        <f>'6.Cons Profit &amp; Loss'!F10</f>
        <v>0</v>
      </c>
      <c r="H139" s="63">
        <f>'6.Cons Profit &amp; Loss'!G10</f>
        <v>0</v>
      </c>
      <c r="I139" s="63">
        <f>'6.Cons Profit &amp; Loss'!H10</f>
        <v>0</v>
      </c>
    </row>
    <row r="140" spans="2:9" x14ac:dyDescent="0.2">
      <c r="B140" s="61" t="str">
        <f t="shared" si="16"/>
        <v xml:space="preserve">Faclitiy 4 - Custom Hiring </v>
      </c>
      <c r="C140" s="63">
        <f>'6.Cons Profit &amp; Loss'!B11</f>
        <v>0</v>
      </c>
      <c r="D140" s="63">
        <f>'6.Cons Profit &amp; Loss'!C11</f>
        <v>0</v>
      </c>
      <c r="E140" s="63">
        <f>'6.Cons Profit &amp; Loss'!D11</f>
        <v>0</v>
      </c>
      <c r="F140" s="63">
        <f>'6.Cons Profit &amp; Loss'!E11</f>
        <v>0</v>
      </c>
      <c r="G140" s="63">
        <f>'6.Cons Profit &amp; Loss'!F11</f>
        <v>0</v>
      </c>
      <c r="H140" s="63">
        <f>'6.Cons Profit &amp; Loss'!G11</f>
        <v>0</v>
      </c>
      <c r="I140" s="63">
        <f>'6.Cons Profit &amp; Loss'!H11</f>
        <v>0</v>
      </c>
    </row>
    <row r="141" spans="2:9" x14ac:dyDescent="0.2">
      <c r="B141" s="61" t="str">
        <f t="shared" si="16"/>
        <v>Faclitiy 5 - Agri Input Centre</v>
      </c>
      <c r="C141" s="63">
        <f>'6.Cons Profit &amp; Loss'!B12</f>
        <v>0</v>
      </c>
      <c r="D141" s="63">
        <f>'6.Cons Profit &amp; Loss'!C12</f>
        <v>0</v>
      </c>
      <c r="E141" s="63">
        <f>'6.Cons Profit &amp; Loss'!D12</f>
        <v>0</v>
      </c>
      <c r="F141" s="63">
        <f>'6.Cons Profit &amp; Loss'!E12</f>
        <v>0</v>
      </c>
      <c r="G141" s="63">
        <f>'6.Cons Profit &amp; Loss'!F12</f>
        <v>0</v>
      </c>
      <c r="H141" s="63">
        <f>'6.Cons Profit &amp; Loss'!G12</f>
        <v>0</v>
      </c>
      <c r="I141" s="63">
        <f>'6.Cons Profit &amp; Loss'!H12</f>
        <v>0</v>
      </c>
    </row>
    <row r="142" spans="2:9" x14ac:dyDescent="0.2">
      <c r="B142" s="61" t="str">
        <f t="shared" si="16"/>
        <v>Faclitiy 2 - Processing Unit- Oil Mill</v>
      </c>
      <c r="C142" s="63">
        <f>+SUM('6.Cons Profit &amp; Loss'!B13:B15)</f>
        <v>226.01394212962961</v>
      </c>
      <c r="D142" s="63">
        <f>+SUM('6.Cons Profit &amp; Loss'!C13:C15)</f>
        <v>263.68083333333334</v>
      </c>
      <c r="E142" s="63">
        <f>+SUM('6.Cons Profit &amp; Loss'!D13:D15)</f>
        <v>305.35194175925932</v>
      </c>
      <c r="F142" s="63">
        <f>+SUM('6.Cons Profit &amp; Loss'!E13:E15)</f>
        <v>352.19588509259262</v>
      </c>
      <c r="G142" s="63">
        <f>+SUM('6.Cons Profit &amp; Loss'!F13:F15)</f>
        <v>398.31399011226858</v>
      </c>
      <c r="H142" s="63">
        <f>+SUM('6.Cons Profit &amp; Loss'!G13:G15)</f>
        <v>450.68403539618055</v>
      </c>
      <c r="I142" s="63">
        <f>+SUM('6.Cons Profit &amp; Loss'!H13:H15)</f>
        <v>509.18788343181427</v>
      </c>
    </row>
    <row r="143" spans="2:9" x14ac:dyDescent="0.2">
      <c r="B143" s="61" t="str">
        <f t="shared" ref="B143" si="17">B128</f>
        <v>Changes In FG Closing Stock</v>
      </c>
      <c r="C143" s="285">
        <f>+'6.Cons Profit &amp; Loss'!B18-'6.Cons Profit &amp; Loss'!B17</f>
        <v>5.5755439814814807</v>
      </c>
      <c r="D143" s="285">
        <f>+'6.Cons Profit &amp; Loss'!C18-'6.Cons Profit &amp; Loss'!C17</f>
        <v>6.7944375000000008</v>
      </c>
      <c r="E143" s="285">
        <f>+'6.Cons Profit &amp; Loss'!D18-'6.Cons Profit &amp; Loss'!D17</f>
        <v>8.2842935185185169</v>
      </c>
      <c r="F143" s="285">
        <f>+'6.Cons Profit &amp; Loss'!E18-'6.Cons Profit &amp; Loss'!E17</f>
        <v>9.9164379629629629</v>
      </c>
      <c r="G143" s="285">
        <f>+'6.Cons Profit &amp; Loss'!F18-'6.Cons Profit &amp; Loss'!F17</f>
        <v>11.507197222222214</v>
      </c>
      <c r="H143" s="285">
        <f>+'6.Cons Profit &amp; Loss'!G18-'6.Cons Profit &amp; Loss'!G17</f>
        <v>13.315015740740741</v>
      </c>
      <c r="I143" s="285">
        <f>+'6.Cons Profit &amp; Loss'!H18-'6.Cons Profit &amp; Loss'!H17</f>
        <v>15.518365740740755</v>
      </c>
    </row>
    <row r="144" spans="2:9" x14ac:dyDescent="0.2">
      <c r="B144" s="61" t="s">
        <v>340</v>
      </c>
      <c r="C144" s="63">
        <f>SUM(C137:C143)</f>
        <v>231.58948611111109</v>
      </c>
      <c r="D144" s="63">
        <f t="shared" ref="D144:I144" si="18">SUM(D137:D143)</f>
        <v>270.47527083333335</v>
      </c>
      <c r="E144" s="63">
        <f t="shared" si="18"/>
        <v>313.63623527777781</v>
      </c>
      <c r="F144" s="63">
        <f t="shared" si="18"/>
        <v>362.11232305555558</v>
      </c>
      <c r="G144" s="63">
        <f t="shared" si="18"/>
        <v>409.82118733449079</v>
      </c>
      <c r="H144" s="63">
        <f t="shared" si="18"/>
        <v>463.99905113692131</v>
      </c>
      <c r="I144" s="63">
        <f t="shared" si="18"/>
        <v>524.70624917255498</v>
      </c>
    </row>
    <row r="145" spans="2:15" x14ac:dyDescent="0.2">
      <c r="B145" s="61" t="s">
        <v>341</v>
      </c>
      <c r="C145" s="68"/>
      <c r="D145" s="63"/>
      <c r="E145" s="63"/>
      <c r="F145" s="63"/>
      <c r="G145" s="63"/>
      <c r="H145" s="63"/>
      <c r="I145" s="63"/>
    </row>
    <row r="146" spans="2:15" x14ac:dyDescent="0.2">
      <c r="B146" s="61" t="s">
        <v>342</v>
      </c>
      <c r="C146" s="62">
        <f>'6.Cons Profit &amp; Loss'!B40*(1+$M$124)</f>
        <v>18.380220075</v>
      </c>
      <c r="D146" s="62">
        <f>'6.Cons Profit &amp; Loss'!C40*(1+$M$124)</f>
        <v>19.297656078750006</v>
      </c>
      <c r="E146" s="62">
        <f>'6.Cons Profit &amp; Loss'!D40*(1+$M$124)</f>
        <v>20.260963882687502</v>
      </c>
      <c r="F146" s="62">
        <f>'6.Cons Profit &amp; Loss'!E40*(1+$M$124)</f>
        <v>21.27243707682188</v>
      </c>
      <c r="G146" s="62">
        <f>'6.Cons Profit &amp; Loss'!F40*(1+$M$124)</f>
        <v>22.334483930662977</v>
      </c>
      <c r="H146" s="62">
        <f>'6.Cons Profit &amp; Loss'!G40*(1+$M$124)</f>
        <v>23.449633127196126</v>
      </c>
      <c r="I146" s="62">
        <f>'6.Cons Profit &amp; Loss'!H40*(1+$M$124)</f>
        <v>24.62053978355593</v>
      </c>
    </row>
    <row r="147" spans="2:15" x14ac:dyDescent="0.2">
      <c r="B147" s="61" t="s">
        <v>301</v>
      </c>
      <c r="C147" s="62">
        <f>'6.Cons Profit &amp; Loss'!B29*(1+$M$124)</f>
        <v>197.68576826250001</v>
      </c>
      <c r="D147" s="62">
        <f>'6.Cons Profit &amp; Loss'!C29*(1+$M$124)</f>
        <v>230.28873262499999</v>
      </c>
      <c r="E147" s="62">
        <f>'6.Cons Profit &amp; Loss'!D29*(1+$M$124)</f>
        <v>265.79999748750004</v>
      </c>
      <c r="F147" s="62">
        <f>'6.Cons Profit &amp; Loss'!E29*(1+$M$124)</f>
        <v>304.2513638499999</v>
      </c>
      <c r="G147" s="62">
        <f>'6.Cons Profit &amp; Loss'!F29*(1+$M$124)</f>
        <v>345.66727571249999</v>
      </c>
      <c r="H147" s="62">
        <f>'6.Cons Profit &amp; Loss'!G29*(1+$M$124)</f>
        <v>390.428925075</v>
      </c>
      <c r="I147" s="62">
        <f>'6.Cons Profit &amp; Loss'!H29*(1+$M$124)</f>
        <v>439.44497143750004</v>
      </c>
    </row>
    <row r="148" spans="2:15" x14ac:dyDescent="0.2">
      <c r="B148" s="61" t="s">
        <v>343</v>
      </c>
      <c r="C148" s="62">
        <f t="shared" ref="C148:I148" si="19">SUM(C146:C147)</f>
        <v>216.06598833750002</v>
      </c>
      <c r="D148" s="62">
        <f t="shared" si="19"/>
        <v>249.58638870375</v>
      </c>
      <c r="E148" s="62">
        <f t="shared" si="19"/>
        <v>286.06096137018756</v>
      </c>
      <c r="F148" s="62">
        <f t="shared" si="19"/>
        <v>325.52380092682176</v>
      </c>
      <c r="G148" s="62">
        <f t="shared" si="19"/>
        <v>368.00175964316298</v>
      </c>
      <c r="H148" s="62">
        <f t="shared" si="19"/>
        <v>413.87855820219613</v>
      </c>
      <c r="I148" s="62">
        <f t="shared" si="19"/>
        <v>464.065511221056</v>
      </c>
    </row>
    <row r="149" spans="2:15" x14ac:dyDescent="0.2">
      <c r="B149" s="64" t="s">
        <v>344</v>
      </c>
      <c r="C149" s="65">
        <f t="shared" ref="C149:I149" si="20">+C144-C148</f>
        <v>15.523497773611069</v>
      </c>
      <c r="D149" s="65">
        <f t="shared" si="20"/>
        <v>20.888882129583351</v>
      </c>
      <c r="E149" s="65">
        <f t="shared" si="20"/>
        <v>27.575273907590258</v>
      </c>
      <c r="F149" s="65">
        <f t="shared" si="20"/>
        <v>36.588522128733814</v>
      </c>
      <c r="G149" s="65">
        <f t="shared" si="20"/>
        <v>41.819427691327803</v>
      </c>
      <c r="H149" s="65">
        <f t="shared" si="20"/>
        <v>50.120492934725178</v>
      </c>
      <c r="I149" s="65">
        <f t="shared" si="20"/>
        <v>60.640737951498977</v>
      </c>
      <c r="N149" s="4"/>
      <c r="O149" s="6"/>
    </row>
    <row r="150" spans="2:15" x14ac:dyDescent="0.2">
      <c r="B150" s="66"/>
      <c r="C150" s="67"/>
      <c r="D150" s="67"/>
      <c r="E150" s="67"/>
      <c r="F150" s="67"/>
      <c r="G150" s="67"/>
      <c r="H150" s="67"/>
      <c r="I150" s="67"/>
    </row>
    <row r="151" spans="2:15" x14ac:dyDescent="0.2">
      <c r="B151" s="69" t="s">
        <v>346</v>
      </c>
      <c r="C151" s="70" t="s">
        <v>2</v>
      </c>
      <c r="D151" s="70" t="s">
        <v>3</v>
      </c>
      <c r="E151" s="70" t="s">
        <v>4</v>
      </c>
      <c r="F151" s="70" t="s">
        <v>5</v>
      </c>
      <c r="G151" s="70" t="s">
        <v>6</v>
      </c>
      <c r="H151" s="70" t="s">
        <v>163</v>
      </c>
      <c r="I151" s="70" t="s">
        <v>162</v>
      </c>
    </row>
    <row r="152" spans="2:15" x14ac:dyDescent="0.2">
      <c r="B152" s="61" t="str">
        <f t="shared" ref="B152:B158" si="21">B137</f>
        <v>Faclitiy 1 - Cleaning &amp; Grading</v>
      </c>
      <c r="C152" s="285">
        <f>'6.Cons Profit &amp; Loss'!B8*(1-$M$123)</f>
        <v>0</v>
      </c>
      <c r="D152" s="285">
        <f>'6.Cons Profit &amp; Loss'!C8*(1-$M$123)</f>
        <v>0</v>
      </c>
      <c r="E152" s="285">
        <f>'6.Cons Profit &amp; Loss'!D8*(1-$M$123)</f>
        <v>0</v>
      </c>
      <c r="F152" s="285">
        <f>'6.Cons Profit &amp; Loss'!E8*(1-$M$123)</f>
        <v>0</v>
      </c>
      <c r="G152" s="285">
        <f>'6.Cons Profit &amp; Loss'!F8*(1-$M$123)</f>
        <v>0</v>
      </c>
      <c r="H152" s="285">
        <f>'6.Cons Profit &amp; Loss'!G8*(1-$M$123)</f>
        <v>0</v>
      </c>
      <c r="I152" s="285">
        <f>'6.Cons Profit &amp; Loss'!H8*(1-$M$123)</f>
        <v>0</v>
      </c>
    </row>
    <row r="153" spans="2:15" x14ac:dyDescent="0.2">
      <c r="B153" s="61" t="str">
        <f t="shared" si="21"/>
        <v>Facility 6 - Processing Unit - Horti Commodity</v>
      </c>
      <c r="C153" s="527">
        <f>'6.Cons Profit &amp; Loss'!B9*(1-$M$123)</f>
        <v>0</v>
      </c>
      <c r="D153" s="527">
        <f>'6.Cons Profit &amp; Loss'!C9*(1-$M$123)</f>
        <v>0</v>
      </c>
      <c r="E153" s="527">
        <f>'6.Cons Profit &amp; Loss'!D9*(1-$M$123)</f>
        <v>0</v>
      </c>
      <c r="F153" s="527">
        <f>'6.Cons Profit &amp; Loss'!E9*(1-$M$123)</f>
        <v>0</v>
      </c>
      <c r="G153" s="527">
        <f>'6.Cons Profit &amp; Loss'!F9*(1-$M$123)</f>
        <v>0</v>
      </c>
      <c r="H153" s="527">
        <f>'6.Cons Profit &amp; Loss'!G9*(1-$M$123)</f>
        <v>0</v>
      </c>
      <c r="I153" s="527">
        <f>'6.Cons Profit &amp; Loss'!H9*(1-$M$123)</f>
        <v>0</v>
      </c>
    </row>
    <row r="154" spans="2:15" x14ac:dyDescent="0.2">
      <c r="B154" s="61" t="str">
        <f t="shared" si="21"/>
        <v>Faclitiy 3 - Warehouse</v>
      </c>
      <c r="C154" s="527">
        <f>'6.Cons Profit &amp; Loss'!B10*(1-$M$123)</f>
        <v>0</v>
      </c>
      <c r="D154" s="527">
        <f>'6.Cons Profit &amp; Loss'!C10*(1-$M$123)</f>
        <v>0</v>
      </c>
      <c r="E154" s="527">
        <f>'6.Cons Profit &amp; Loss'!D10*(1-$M$123)</f>
        <v>0</v>
      </c>
      <c r="F154" s="527">
        <f>'6.Cons Profit &amp; Loss'!E10*(1-$M$123)</f>
        <v>0</v>
      </c>
      <c r="G154" s="527">
        <f>'6.Cons Profit &amp; Loss'!F10*(1-$M$123)</f>
        <v>0</v>
      </c>
      <c r="H154" s="527">
        <f>'6.Cons Profit &amp; Loss'!G10*(1-$M$123)</f>
        <v>0</v>
      </c>
      <c r="I154" s="527">
        <f>'6.Cons Profit &amp; Loss'!H10*(1-$M$123)</f>
        <v>0</v>
      </c>
    </row>
    <row r="155" spans="2:15" x14ac:dyDescent="0.2">
      <c r="B155" s="61" t="str">
        <f t="shared" si="21"/>
        <v xml:space="preserve">Faclitiy 4 - Custom Hiring </v>
      </c>
      <c r="C155" s="527">
        <f>'6.Cons Profit &amp; Loss'!B11*(1-$M$123)</f>
        <v>0</v>
      </c>
      <c r="D155" s="527">
        <f>'6.Cons Profit &amp; Loss'!C11*(1-$M$123)</f>
        <v>0</v>
      </c>
      <c r="E155" s="527">
        <f>'6.Cons Profit &amp; Loss'!D11*(1-$M$123)</f>
        <v>0</v>
      </c>
      <c r="F155" s="527">
        <f>'6.Cons Profit &amp; Loss'!E11*(1-$M$123)</f>
        <v>0</v>
      </c>
      <c r="G155" s="527">
        <f>'6.Cons Profit &amp; Loss'!F11*(1-$M$123)</f>
        <v>0</v>
      </c>
      <c r="H155" s="527">
        <f>'6.Cons Profit &amp; Loss'!G11*(1-$M$123)</f>
        <v>0</v>
      </c>
      <c r="I155" s="527">
        <f>'6.Cons Profit &amp; Loss'!H11*(1-$M$123)</f>
        <v>0</v>
      </c>
    </row>
    <row r="156" spans="2:15" x14ac:dyDescent="0.2">
      <c r="B156" s="61" t="str">
        <f t="shared" si="21"/>
        <v>Faclitiy 5 - Agri Input Centre</v>
      </c>
      <c r="C156" s="527">
        <f>'6.Cons Profit &amp; Loss'!B12*(1-$M$123)</f>
        <v>0</v>
      </c>
      <c r="D156" s="527">
        <f>'6.Cons Profit &amp; Loss'!C12*(1-$M$123)</f>
        <v>0</v>
      </c>
      <c r="E156" s="527">
        <f>'6.Cons Profit &amp; Loss'!D12*(1-$M$123)</f>
        <v>0</v>
      </c>
      <c r="F156" s="527">
        <f>'6.Cons Profit &amp; Loss'!E12*(1-$M$123)</f>
        <v>0</v>
      </c>
      <c r="G156" s="527">
        <f>'6.Cons Profit &amp; Loss'!F12*(1-$M$123)</f>
        <v>0</v>
      </c>
      <c r="H156" s="527">
        <f>'6.Cons Profit &amp; Loss'!G12*(1-$M$123)</f>
        <v>0</v>
      </c>
      <c r="I156" s="527">
        <f>'6.Cons Profit &amp; Loss'!H12*(1-$M$123)</f>
        <v>0</v>
      </c>
    </row>
    <row r="157" spans="2:15" x14ac:dyDescent="0.2">
      <c r="B157" s="61" t="str">
        <f t="shared" si="21"/>
        <v>Faclitiy 2 - Processing Unit- Oil Mill</v>
      </c>
      <c r="C157" s="527">
        <f>+SUM('6.Cons Profit &amp; Loss'!B13:B15)*(1-$M$123)</f>
        <v>214.71324502314812</v>
      </c>
      <c r="D157" s="527">
        <f>'6.Cons Profit &amp; Loss'!C13*(1-$M$123)</f>
        <v>240.17266666666666</v>
      </c>
      <c r="E157" s="527">
        <f>'6.Cons Profit &amp; Loss'!D13*(1-$M$123)</f>
        <v>278.15998029629634</v>
      </c>
      <c r="F157" s="527">
        <f>'6.Cons Profit &amp; Loss'!E13*(1-$M$123)</f>
        <v>320.927273462963</v>
      </c>
      <c r="G157" s="527">
        <f>'6.Cons Profit &amp; Loss'!F13*(1-$M$123)</f>
        <v>362.86138584259265</v>
      </c>
      <c r="H157" s="527">
        <f>'6.Cons Profit &amp; Loss'!G13*(1-$M$123)</f>
        <v>410.58117977777772</v>
      </c>
      <c r="I157" s="527">
        <f>'6.Cons Profit &amp; Loss'!H13*(1-$M$123)</f>
        <v>463.96375368055556</v>
      </c>
    </row>
    <row r="158" spans="2:15" x14ac:dyDescent="0.2">
      <c r="B158" s="61" t="str">
        <f t="shared" si="21"/>
        <v>Changes In FG Closing Stock</v>
      </c>
      <c r="C158" s="527">
        <f>+'6.Cons Profit &amp; Loss'!B18-'6.Cons Profit &amp; Loss'!B17</f>
        <v>5.5755439814814807</v>
      </c>
      <c r="D158" s="527">
        <f>+'6.Cons Profit &amp; Loss'!C18-'6.Cons Profit &amp; Loss'!C17</f>
        <v>6.7944375000000008</v>
      </c>
      <c r="E158" s="527">
        <f>+'6.Cons Profit &amp; Loss'!D18-'6.Cons Profit &amp; Loss'!D17</f>
        <v>8.2842935185185169</v>
      </c>
      <c r="F158" s="527">
        <f>+'6.Cons Profit &amp; Loss'!E18-'6.Cons Profit &amp; Loss'!E17</f>
        <v>9.9164379629629629</v>
      </c>
      <c r="G158" s="527">
        <f>+'6.Cons Profit &amp; Loss'!F18-'6.Cons Profit &amp; Loss'!F17</f>
        <v>11.507197222222214</v>
      </c>
      <c r="H158" s="527">
        <f>+'6.Cons Profit &amp; Loss'!G18-'6.Cons Profit &amp; Loss'!G17</f>
        <v>13.315015740740741</v>
      </c>
      <c r="I158" s="527">
        <f>+'6.Cons Profit &amp; Loss'!H18-'6.Cons Profit &amp; Loss'!H17</f>
        <v>15.518365740740755</v>
      </c>
    </row>
    <row r="159" spans="2:15" x14ac:dyDescent="0.2">
      <c r="B159" s="61" t="s">
        <v>340</v>
      </c>
      <c r="C159" s="527">
        <f>SUM(C152:C158)</f>
        <v>220.28878900462959</v>
      </c>
      <c r="D159" s="527">
        <f t="shared" ref="D159:I159" si="22">SUM(D152:D158)</f>
        <v>246.96710416666667</v>
      </c>
      <c r="E159" s="527">
        <f t="shared" si="22"/>
        <v>286.44427381481484</v>
      </c>
      <c r="F159" s="527">
        <f t="shared" si="22"/>
        <v>330.84371142592596</v>
      </c>
      <c r="G159" s="527">
        <f t="shared" si="22"/>
        <v>374.36858306481486</v>
      </c>
      <c r="H159" s="527">
        <f t="shared" si="22"/>
        <v>423.89619551851848</v>
      </c>
      <c r="I159" s="527">
        <f t="shared" si="22"/>
        <v>479.48211942129632</v>
      </c>
    </row>
    <row r="160" spans="2:15" x14ac:dyDescent="0.2">
      <c r="B160" s="61" t="s">
        <v>341</v>
      </c>
      <c r="C160" s="527"/>
      <c r="D160" s="527"/>
      <c r="E160" s="527"/>
      <c r="F160" s="527"/>
      <c r="G160" s="527"/>
      <c r="H160" s="527"/>
      <c r="I160" s="527"/>
    </row>
    <row r="161" spans="2:9" x14ac:dyDescent="0.2">
      <c r="B161" s="61" t="s">
        <v>342</v>
      </c>
      <c r="C161" s="527">
        <f>'6.Cons Profit &amp; Loss'!B40</f>
        <v>17.5049715</v>
      </c>
      <c r="D161" s="527">
        <f>'6.Cons Profit &amp; Loss'!C40</f>
        <v>18.378720075000004</v>
      </c>
      <c r="E161" s="527">
        <f>'6.Cons Profit &amp; Loss'!D40</f>
        <v>19.296156078750002</v>
      </c>
      <c r="F161" s="527">
        <f>'6.Cons Profit &amp; Loss'!E40</f>
        <v>20.259463882687506</v>
      </c>
      <c r="G161" s="527">
        <f>'6.Cons Profit &amp; Loss'!F40</f>
        <v>21.27093707682188</v>
      </c>
      <c r="H161" s="527">
        <f>'6.Cons Profit &amp; Loss'!G40</f>
        <v>22.332983930662976</v>
      </c>
      <c r="I161" s="527">
        <f>'6.Cons Profit &amp; Loss'!H40</f>
        <v>23.448133127196122</v>
      </c>
    </row>
    <row r="162" spans="2:9" x14ac:dyDescent="0.2">
      <c r="B162" s="61" t="s">
        <v>301</v>
      </c>
      <c r="C162" s="527">
        <f>'6.Cons Profit &amp; Loss'!B29*(1-$M$123)</f>
        <v>178.85855223749996</v>
      </c>
      <c r="D162" s="527">
        <f>'6.Cons Profit &amp; Loss'!C29*(1-$M$123)</f>
        <v>208.35647237499998</v>
      </c>
      <c r="E162" s="527">
        <f>'6.Cons Profit &amp; Loss'!D29*(1-$M$123)</f>
        <v>240.48571201249999</v>
      </c>
      <c r="F162" s="527">
        <f>'6.Cons Profit &amp; Loss'!E29*(1-$M$123)</f>
        <v>275.27504348333326</v>
      </c>
      <c r="G162" s="527">
        <f>'6.Cons Profit &amp; Loss'!F29*(1-$M$123)</f>
        <v>312.74658278749996</v>
      </c>
      <c r="H162" s="527">
        <f>'6.Cons Profit &amp; Loss'!G29*(1-$M$123)</f>
        <v>353.24521792499996</v>
      </c>
      <c r="I162" s="527">
        <f>'6.Cons Profit &amp; Loss'!H29*(1-$M$123)</f>
        <v>397.59306939583337</v>
      </c>
    </row>
    <row r="163" spans="2:9" x14ac:dyDescent="0.2">
      <c r="B163" s="61" t="s">
        <v>343</v>
      </c>
      <c r="C163" s="527">
        <f t="shared" ref="C163:I163" si="23">SUM(C161:C162)</f>
        <v>196.36352373749997</v>
      </c>
      <c r="D163" s="527">
        <f t="shared" si="23"/>
        <v>226.73519245</v>
      </c>
      <c r="E163" s="527">
        <f t="shared" si="23"/>
        <v>259.78186809124998</v>
      </c>
      <c r="F163" s="527">
        <f t="shared" si="23"/>
        <v>295.53450736602076</v>
      </c>
      <c r="G163" s="527">
        <f t="shared" si="23"/>
        <v>334.01751986432186</v>
      </c>
      <c r="H163" s="527">
        <f t="shared" si="23"/>
        <v>375.57820185566294</v>
      </c>
      <c r="I163" s="527">
        <f t="shared" si="23"/>
        <v>421.04120252302948</v>
      </c>
    </row>
    <row r="164" spans="2:9" x14ac:dyDescent="0.2">
      <c r="B164" s="64" t="s">
        <v>344</v>
      </c>
      <c r="C164" s="528">
        <f t="shared" ref="C164:I164" si="24">+C159-C163</f>
        <v>23.925265267129618</v>
      </c>
      <c r="D164" s="528">
        <f t="shared" si="24"/>
        <v>20.231911716666673</v>
      </c>
      <c r="E164" s="528">
        <f t="shared" si="24"/>
        <v>26.662405723564859</v>
      </c>
      <c r="F164" s="528">
        <f t="shared" si="24"/>
        <v>35.309204059905198</v>
      </c>
      <c r="G164" s="528">
        <f t="shared" si="24"/>
        <v>40.351063200493002</v>
      </c>
      <c r="H164" s="528">
        <f t="shared" si="24"/>
        <v>48.317993662855542</v>
      </c>
      <c r="I164" s="528">
        <f t="shared" si="24"/>
        <v>58.440916898266835</v>
      </c>
    </row>
    <row r="165" spans="2:9" x14ac:dyDescent="0.2">
      <c r="B165" s="13"/>
      <c r="C165" s="529"/>
      <c r="D165" s="529"/>
      <c r="E165" s="529"/>
      <c r="F165" s="529"/>
      <c r="G165" s="529"/>
      <c r="H165" s="529"/>
      <c r="I165" s="529"/>
    </row>
    <row r="166" spans="2:9" x14ac:dyDescent="0.2">
      <c r="B166" s="69" t="s">
        <v>347</v>
      </c>
      <c r="C166" s="530" t="s">
        <v>2</v>
      </c>
      <c r="D166" s="530" t="s">
        <v>3</v>
      </c>
      <c r="E166" s="530" t="s">
        <v>4</v>
      </c>
      <c r="F166" s="530" t="s">
        <v>5</v>
      </c>
      <c r="G166" s="530" t="s">
        <v>6</v>
      </c>
      <c r="H166" s="530" t="s">
        <v>163</v>
      </c>
      <c r="I166" s="530" t="s">
        <v>162</v>
      </c>
    </row>
    <row r="167" spans="2:9" x14ac:dyDescent="0.2">
      <c r="B167" s="61" t="str">
        <f t="shared" ref="B167:B173" si="25">B152</f>
        <v>Faclitiy 1 - Cleaning &amp; Grading</v>
      </c>
      <c r="C167" s="531">
        <f>'6.Cons Profit &amp; Loss'!B8</f>
        <v>0</v>
      </c>
      <c r="D167" s="531">
        <f>'6.Cons Profit &amp; Loss'!C8</f>
        <v>0</v>
      </c>
      <c r="E167" s="531">
        <f>'6.Cons Profit &amp; Loss'!D8</f>
        <v>0</v>
      </c>
      <c r="F167" s="531">
        <f>'6.Cons Profit &amp; Loss'!E8</f>
        <v>0</v>
      </c>
      <c r="G167" s="531">
        <f>'6.Cons Profit &amp; Loss'!F8</f>
        <v>0</v>
      </c>
      <c r="H167" s="531">
        <f>'6.Cons Profit &amp; Loss'!G8</f>
        <v>0</v>
      </c>
      <c r="I167" s="531">
        <f>'6.Cons Profit &amp; Loss'!H8</f>
        <v>0</v>
      </c>
    </row>
    <row r="168" spans="2:9" x14ac:dyDescent="0.2">
      <c r="B168" s="61" t="str">
        <f t="shared" si="25"/>
        <v>Facility 6 - Processing Unit - Horti Commodity</v>
      </c>
      <c r="C168" s="531">
        <f>'6.Cons Profit &amp; Loss'!B9</f>
        <v>0</v>
      </c>
      <c r="D168" s="531">
        <f>'6.Cons Profit &amp; Loss'!C9</f>
        <v>0</v>
      </c>
      <c r="E168" s="531">
        <f>'6.Cons Profit &amp; Loss'!D9</f>
        <v>0</v>
      </c>
      <c r="F168" s="531">
        <f>'6.Cons Profit &amp; Loss'!E9</f>
        <v>0</v>
      </c>
      <c r="G168" s="531">
        <f>'6.Cons Profit &amp; Loss'!F9</f>
        <v>0</v>
      </c>
      <c r="H168" s="531">
        <f>'6.Cons Profit &amp; Loss'!G9</f>
        <v>0</v>
      </c>
      <c r="I168" s="531">
        <f>'6.Cons Profit &amp; Loss'!H9</f>
        <v>0</v>
      </c>
    </row>
    <row r="169" spans="2:9" x14ac:dyDescent="0.2">
      <c r="B169" s="61" t="str">
        <f t="shared" si="25"/>
        <v>Faclitiy 3 - Warehouse</v>
      </c>
      <c r="C169" s="531">
        <f>'6.Cons Profit &amp; Loss'!B10</f>
        <v>0</v>
      </c>
      <c r="D169" s="531">
        <f>'6.Cons Profit &amp; Loss'!C10</f>
        <v>0</v>
      </c>
      <c r="E169" s="531">
        <f>'6.Cons Profit &amp; Loss'!D10</f>
        <v>0</v>
      </c>
      <c r="F169" s="531">
        <f>'6.Cons Profit &amp; Loss'!E10</f>
        <v>0</v>
      </c>
      <c r="G169" s="531">
        <f>'6.Cons Profit &amp; Loss'!F10</f>
        <v>0</v>
      </c>
      <c r="H169" s="531">
        <f>'6.Cons Profit &amp; Loss'!G10</f>
        <v>0</v>
      </c>
      <c r="I169" s="531">
        <f>'6.Cons Profit &amp; Loss'!H10</f>
        <v>0</v>
      </c>
    </row>
    <row r="170" spans="2:9" x14ac:dyDescent="0.2">
      <c r="B170" s="61" t="str">
        <f t="shared" si="25"/>
        <v xml:space="preserve">Faclitiy 4 - Custom Hiring </v>
      </c>
      <c r="C170" s="531">
        <f>'6.Cons Profit &amp; Loss'!B11</f>
        <v>0</v>
      </c>
      <c r="D170" s="531">
        <f>'6.Cons Profit &amp; Loss'!C11</f>
        <v>0</v>
      </c>
      <c r="E170" s="531">
        <f>'6.Cons Profit &amp; Loss'!D11</f>
        <v>0</v>
      </c>
      <c r="F170" s="531">
        <f>'6.Cons Profit &amp; Loss'!E11</f>
        <v>0</v>
      </c>
      <c r="G170" s="531">
        <f>'6.Cons Profit &amp; Loss'!F11</f>
        <v>0</v>
      </c>
      <c r="H170" s="531">
        <f>'6.Cons Profit &amp; Loss'!G11</f>
        <v>0</v>
      </c>
      <c r="I170" s="531">
        <f>'6.Cons Profit &amp; Loss'!H11</f>
        <v>0</v>
      </c>
    </row>
    <row r="171" spans="2:9" x14ac:dyDescent="0.2">
      <c r="B171" s="61" t="str">
        <f t="shared" si="25"/>
        <v>Faclitiy 5 - Agri Input Centre</v>
      </c>
      <c r="C171" s="531">
        <f>'6.Cons Profit &amp; Loss'!B12</f>
        <v>0</v>
      </c>
      <c r="D171" s="531">
        <f>'6.Cons Profit &amp; Loss'!C12</f>
        <v>0</v>
      </c>
      <c r="E171" s="531">
        <f>'6.Cons Profit &amp; Loss'!D12</f>
        <v>0</v>
      </c>
      <c r="F171" s="531">
        <f>'6.Cons Profit &amp; Loss'!E12</f>
        <v>0</v>
      </c>
      <c r="G171" s="531">
        <f>'6.Cons Profit &amp; Loss'!F12</f>
        <v>0</v>
      </c>
      <c r="H171" s="531">
        <f>'6.Cons Profit &amp; Loss'!G12</f>
        <v>0</v>
      </c>
      <c r="I171" s="531">
        <f>'6.Cons Profit &amp; Loss'!H12</f>
        <v>0</v>
      </c>
    </row>
    <row r="172" spans="2:9" x14ac:dyDescent="0.2">
      <c r="B172" s="61" t="str">
        <f t="shared" si="25"/>
        <v>Faclitiy 2 - Processing Unit- Oil Mill</v>
      </c>
      <c r="C172" s="531">
        <f>+SUM('6.Cons Profit &amp; Loss'!B13:B15)</f>
        <v>226.01394212962961</v>
      </c>
      <c r="D172" s="531">
        <f>+SUM('6.Cons Profit &amp; Loss'!C13:C15)</f>
        <v>263.68083333333334</v>
      </c>
      <c r="E172" s="531">
        <f>+SUM('6.Cons Profit &amp; Loss'!D13:D15)</f>
        <v>305.35194175925932</v>
      </c>
      <c r="F172" s="531">
        <f>+SUM('6.Cons Profit &amp; Loss'!E13:E15)</f>
        <v>352.19588509259262</v>
      </c>
      <c r="G172" s="531">
        <f>+SUM('6.Cons Profit &amp; Loss'!F13:F15)</f>
        <v>398.31399011226858</v>
      </c>
      <c r="H172" s="531">
        <f>+SUM('6.Cons Profit &amp; Loss'!G13:G15)</f>
        <v>450.68403539618055</v>
      </c>
      <c r="I172" s="531">
        <f>+SUM('6.Cons Profit &amp; Loss'!H13:H15)</f>
        <v>509.18788343181427</v>
      </c>
    </row>
    <row r="173" spans="2:9" x14ac:dyDescent="0.2">
      <c r="B173" s="61" t="str">
        <f t="shared" si="25"/>
        <v>Changes In FG Closing Stock</v>
      </c>
      <c r="C173" s="531">
        <f>+'6.Cons Profit &amp; Loss'!B18-'6.Cons Profit &amp; Loss'!B17</f>
        <v>5.5755439814814807</v>
      </c>
      <c r="D173" s="531">
        <f>+'6.Cons Profit &amp; Loss'!C18-'6.Cons Profit &amp; Loss'!C17</f>
        <v>6.7944375000000008</v>
      </c>
      <c r="E173" s="531">
        <f>+'6.Cons Profit &amp; Loss'!D18-'6.Cons Profit &amp; Loss'!D17</f>
        <v>8.2842935185185169</v>
      </c>
      <c r="F173" s="531">
        <f>+'6.Cons Profit &amp; Loss'!E18-'6.Cons Profit &amp; Loss'!E17</f>
        <v>9.9164379629629629</v>
      </c>
      <c r="G173" s="531">
        <f>+'6.Cons Profit &amp; Loss'!F18-'6.Cons Profit &amp; Loss'!F17</f>
        <v>11.507197222222214</v>
      </c>
      <c r="H173" s="531">
        <f>+'6.Cons Profit &amp; Loss'!G18-'6.Cons Profit &amp; Loss'!G17</f>
        <v>13.315015740740741</v>
      </c>
      <c r="I173" s="531">
        <f>+'6.Cons Profit &amp; Loss'!H18-'6.Cons Profit &amp; Loss'!H17</f>
        <v>15.518365740740755</v>
      </c>
    </row>
    <row r="174" spans="2:9" x14ac:dyDescent="0.2">
      <c r="B174" s="61" t="s">
        <v>340</v>
      </c>
      <c r="C174" s="531">
        <f>SUM(C167:C173)</f>
        <v>231.58948611111109</v>
      </c>
      <c r="D174" s="531">
        <f t="shared" ref="D174:I174" si="26">SUM(D167:D173)</f>
        <v>270.47527083333335</v>
      </c>
      <c r="E174" s="531">
        <f t="shared" si="26"/>
        <v>313.63623527777781</v>
      </c>
      <c r="F174" s="531">
        <f t="shared" si="26"/>
        <v>362.11232305555558</v>
      </c>
      <c r="G174" s="531">
        <f t="shared" si="26"/>
        <v>409.82118733449079</v>
      </c>
      <c r="H174" s="531">
        <f t="shared" si="26"/>
        <v>463.99905113692131</v>
      </c>
      <c r="I174" s="531">
        <f t="shared" si="26"/>
        <v>524.70624917255498</v>
      </c>
    </row>
    <row r="175" spans="2:9" x14ac:dyDescent="0.2">
      <c r="B175" s="61" t="s">
        <v>341</v>
      </c>
      <c r="C175" s="531"/>
      <c r="D175" s="531"/>
      <c r="E175" s="531"/>
      <c r="F175" s="531"/>
      <c r="G175" s="531"/>
      <c r="H175" s="531"/>
      <c r="I175" s="531"/>
    </row>
    <row r="176" spans="2:9" x14ac:dyDescent="0.2">
      <c r="B176" s="61" t="s">
        <v>342</v>
      </c>
      <c r="C176" s="531">
        <f>'6.Cons Profit &amp; Loss'!B40*(1-$M$124)</f>
        <v>16.629722924999999</v>
      </c>
      <c r="D176" s="531">
        <f>'6.Cons Profit &amp; Loss'!C40*(1-$M$124)</f>
        <v>17.459784071250002</v>
      </c>
      <c r="E176" s="531">
        <f>'6.Cons Profit &amp; Loss'!D40*(1-$M$124)</f>
        <v>18.331348274812502</v>
      </c>
      <c r="F176" s="531">
        <f>'6.Cons Profit &amp; Loss'!E40*(1-$M$124)</f>
        <v>19.246490688553131</v>
      </c>
      <c r="G176" s="531">
        <f>'6.Cons Profit &amp; Loss'!F40*(1-$M$124)</f>
        <v>20.207390222980784</v>
      </c>
      <c r="H176" s="531">
        <f>'6.Cons Profit &amp; Loss'!G40*(1-$M$124)</f>
        <v>21.216334734129827</v>
      </c>
      <c r="I176" s="531">
        <f>'6.Cons Profit &amp; Loss'!H40*(1-$M$124)</f>
        <v>22.275726470836315</v>
      </c>
    </row>
    <row r="177" spans="2:13" x14ac:dyDescent="0.2">
      <c r="B177" s="61" t="s">
        <v>301</v>
      </c>
      <c r="C177" s="531">
        <f>'6.Cons Profit &amp; Loss'!B29*(1-$M$124)</f>
        <v>178.85855223749996</v>
      </c>
      <c r="D177" s="531">
        <f>'6.Cons Profit &amp; Loss'!C29*(1-$M$124)</f>
        <v>208.35647237499998</v>
      </c>
      <c r="E177" s="531">
        <f>'6.Cons Profit &amp; Loss'!D29*(1-$M$124)</f>
        <v>240.48571201249999</v>
      </c>
      <c r="F177" s="531">
        <f>'6.Cons Profit &amp; Loss'!E29*(1-$M$124)</f>
        <v>275.27504348333326</v>
      </c>
      <c r="G177" s="531">
        <f>'6.Cons Profit &amp; Loss'!F29*(1-$M$124)</f>
        <v>312.74658278749996</v>
      </c>
      <c r="H177" s="531">
        <f>'6.Cons Profit &amp; Loss'!G29*(1-$M$124)</f>
        <v>353.24521792499996</v>
      </c>
      <c r="I177" s="531">
        <f>'6.Cons Profit &amp; Loss'!H29*(1-$M$124)</f>
        <v>397.59306939583337</v>
      </c>
    </row>
    <row r="178" spans="2:13" x14ac:dyDescent="0.2">
      <c r="B178" s="61" t="s">
        <v>343</v>
      </c>
      <c r="C178" s="531">
        <f>SUM(C176:C177)</f>
        <v>195.48827516249997</v>
      </c>
      <c r="D178" s="531">
        <f t="shared" ref="D178:I178" si="27">SUM(D176:D177)</f>
        <v>225.81625644624998</v>
      </c>
      <c r="E178" s="531">
        <f t="shared" si="27"/>
        <v>258.81706028731247</v>
      </c>
      <c r="F178" s="531">
        <f t="shared" si="27"/>
        <v>294.5215341718864</v>
      </c>
      <c r="G178" s="531">
        <f t="shared" si="27"/>
        <v>332.95397301048075</v>
      </c>
      <c r="H178" s="531">
        <f t="shared" si="27"/>
        <v>374.46155265912978</v>
      </c>
      <c r="I178" s="531">
        <f t="shared" si="27"/>
        <v>419.8687958666697</v>
      </c>
    </row>
    <row r="179" spans="2:13" x14ac:dyDescent="0.2">
      <c r="B179" s="64" t="s">
        <v>344</v>
      </c>
      <c r="C179" s="65">
        <f t="shared" ref="C179:I179" si="28">+C174-C178</f>
        <v>36.101210948611111</v>
      </c>
      <c r="D179" s="65">
        <f t="shared" si="28"/>
        <v>44.659014387083374</v>
      </c>
      <c r="E179" s="65">
        <f t="shared" si="28"/>
        <v>54.819174990465342</v>
      </c>
      <c r="F179" s="65">
        <f t="shared" si="28"/>
        <v>67.590788883669177</v>
      </c>
      <c r="G179" s="65">
        <f t="shared" si="28"/>
        <v>76.867214324010035</v>
      </c>
      <c r="H179" s="65">
        <f t="shared" si="28"/>
        <v>89.53749847779153</v>
      </c>
      <c r="I179" s="65">
        <f t="shared" si="28"/>
        <v>104.83745330588528</v>
      </c>
    </row>
    <row r="181" spans="2:13" ht="41.1" customHeight="1" x14ac:dyDescent="0.2">
      <c r="B181" s="758" t="s">
        <v>491</v>
      </c>
      <c r="C181" s="758"/>
      <c r="D181" s="758"/>
      <c r="E181" s="758"/>
      <c r="F181" s="758"/>
      <c r="G181" s="758"/>
      <c r="H181" s="758"/>
      <c r="I181" s="758"/>
      <c r="J181" s="290"/>
      <c r="K181" s="290"/>
      <c r="L181" s="290"/>
      <c r="M181" s="290"/>
    </row>
  </sheetData>
  <sheetProtection formatCells="0" formatColumns="0" formatRows="0" insertColumns="0" insertRows="0" insertHyperlinks="0" deleteColumns="0" deleteRows="0" sort="0" autoFilter="0" pivotTables="0"/>
  <mergeCells count="20">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 ref="B5:J5"/>
    <mergeCell ref="B26:I26"/>
    <mergeCell ref="B51:I51"/>
    <mergeCell ref="B24:J24"/>
    <mergeCell ref="B72:I72"/>
  </mergeCells>
  <hyperlinks>
    <hyperlink ref="B24" r:id="rId1" display="https://www.investopedia.com/terms/d/discountrate.asp" xr:uid="{00000000-0004-0000-0A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47"/>
  <sheetViews>
    <sheetView view="pageBreakPreview" zoomScale="70" zoomScaleSheetLayoutView="70" workbookViewId="0" xr3:uid="{FF0BDA26-1AD6-5648-BD9A-E01AA4DDCA7C}">
      <selection activeCell="H35" sqref="A13:H35"/>
    </sheetView>
  </sheetViews>
  <sheetFormatPr defaultRowHeight="15" x14ac:dyDescent="0.2"/>
  <cols>
    <col min="1" max="1" width="32.1484375" customWidth="1"/>
    <col min="2" max="2" width="23.26953125" bestFit="1" customWidth="1"/>
    <col min="3" max="8" width="12.10546875" customWidth="1"/>
    <col min="9" max="9" width="11.43359375" bestFit="1" customWidth="1"/>
    <col min="10" max="10" width="9.14453125" bestFit="1" customWidth="1"/>
  </cols>
  <sheetData>
    <row r="1" spans="1:24" ht="18" x14ac:dyDescent="0.2">
      <c r="A1" s="704" t="s">
        <v>975</v>
      </c>
      <c r="B1" s="704"/>
      <c r="C1" s="704"/>
      <c r="D1" s="704"/>
      <c r="E1" s="704"/>
      <c r="F1" s="704"/>
      <c r="G1" s="704"/>
      <c r="H1" s="704"/>
    </row>
    <row r="2" spans="1:24" x14ac:dyDescent="0.2">
      <c r="B2" s="4"/>
    </row>
    <row r="3" spans="1:24" ht="18" x14ac:dyDescent="0.2">
      <c r="A3" s="780" t="s">
        <v>519</v>
      </c>
      <c r="B3" s="780"/>
    </row>
    <row r="4" spans="1:24" x14ac:dyDescent="0.2">
      <c r="A4" s="248" t="s">
        <v>0</v>
      </c>
      <c r="B4" s="265" t="s">
        <v>378</v>
      </c>
      <c r="C4" s="266"/>
      <c r="D4" s="266"/>
      <c r="E4" s="266"/>
      <c r="F4" s="266"/>
      <c r="G4" s="266"/>
      <c r="H4" s="266"/>
    </row>
    <row r="5" spans="1:24" x14ac:dyDescent="0.2">
      <c r="A5" s="10" t="s">
        <v>951</v>
      </c>
      <c r="B5" s="245">
        <f>585+12</f>
        <v>597</v>
      </c>
      <c r="C5" s="267"/>
      <c r="D5" s="268"/>
      <c r="E5" s="268"/>
      <c r="F5" s="268"/>
      <c r="G5" s="268"/>
      <c r="H5" s="268"/>
    </row>
    <row r="6" spans="1:24" x14ac:dyDescent="0.2">
      <c r="A6" s="10" t="s">
        <v>466</v>
      </c>
      <c r="B6" s="245">
        <f>100-12</f>
        <v>88</v>
      </c>
      <c r="C6" s="267"/>
      <c r="D6" s="268"/>
      <c r="E6" s="268"/>
      <c r="F6" s="268"/>
      <c r="G6" s="268"/>
      <c r="H6" s="268"/>
    </row>
    <row r="7" spans="1:24" x14ac:dyDescent="0.2">
      <c r="A7" s="2" t="s">
        <v>1</v>
      </c>
      <c r="B7" s="283">
        <f>B5+B6</f>
        <v>685</v>
      </c>
      <c r="C7" s="269"/>
      <c r="D7" s="270"/>
      <c r="E7" s="270"/>
      <c r="F7" s="270"/>
      <c r="G7" s="270"/>
      <c r="H7" s="270"/>
    </row>
    <row r="8" spans="1:24" x14ac:dyDescent="0.2">
      <c r="A8" s="2" t="s">
        <v>641</v>
      </c>
      <c r="B8" s="282">
        <v>2.5</v>
      </c>
      <c r="C8" s="269"/>
      <c r="D8" s="269"/>
      <c r="E8" s="269"/>
      <c r="F8" s="269"/>
      <c r="G8" s="269"/>
      <c r="H8" s="269"/>
    </row>
    <row r="9" spans="1:24" x14ac:dyDescent="0.2">
      <c r="A9" s="2" t="s">
        <v>642</v>
      </c>
      <c r="B9" s="283">
        <f>+B7*B8</f>
        <v>1712.5</v>
      </c>
      <c r="C9" s="270"/>
      <c r="D9" s="270"/>
      <c r="E9" s="270"/>
      <c r="F9" s="270"/>
      <c r="G9" s="270"/>
      <c r="H9" s="270"/>
    </row>
    <row r="11" spans="1:24" ht="18" x14ac:dyDescent="0.2">
      <c r="A11" s="704" t="s">
        <v>520</v>
      </c>
      <c r="B11" s="704"/>
      <c r="C11" s="704"/>
      <c r="D11" s="704"/>
      <c r="E11" s="704"/>
      <c r="F11" s="704"/>
      <c r="G11" s="704"/>
      <c r="H11" s="704"/>
      <c r="I11" s="244"/>
      <c r="J11" s="244"/>
      <c r="K11" s="244"/>
      <c r="L11" s="244"/>
      <c r="M11" s="244"/>
      <c r="N11" s="244"/>
      <c r="O11" s="244"/>
      <c r="P11" s="244"/>
    </row>
    <row r="12" spans="1:24" x14ac:dyDescent="0.2">
      <c r="J12" s="3"/>
      <c r="K12" s="262"/>
      <c r="L12" s="262"/>
      <c r="M12" s="262"/>
      <c r="N12" s="262"/>
      <c r="O12" s="3"/>
      <c r="P12" s="3"/>
      <c r="Q12" s="3"/>
      <c r="R12" s="3"/>
      <c r="S12" s="3"/>
      <c r="T12" s="3"/>
      <c r="U12" s="3"/>
      <c r="V12" s="6"/>
      <c r="W12" s="6"/>
      <c r="X12" s="6"/>
    </row>
    <row r="13" spans="1:24" ht="54.75" x14ac:dyDescent="0.2">
      <c r="A13" s="248" t="s">
        <v>380</v>
      </c>
      <c r="B13" s="248" t="s">
        <v>381</v>
      </c>
      <c r="C13" s="249" t="s">
        <v>436</v>
      </c>
      <c r="D13" s="249" t="s">
        <v>643</v>
      </c>
      <c r="E13" s="249" t="s">
        <v>807</v>
      </c>
      <c r="F13" s="249" t="s">
        <v>808</v>
      </c>
      <c r="G13" s="249" t="s">
        <v>587</v>
      </c>
      <c r="H13" s="649" t="s">
        <v>809</v>
      </c>
      <c r="O13" s="261"/>
      <c r="P13" s="261"/>
      <c r="Q13" s="261"/>
      <c r="R13" s="261"/>
      <c r="S13" s="261"/>
      <c r="T13" s="261"/>
      <c r="U13" s="261"/>
      <c r="V13" s="261"/>
      <c r="W13" s="261"/>
      <c r="X13" s="261"/>
    </row>
    <row r="14" spans="1:24" x14ac:dyDescent="0.2">
      <c r="A14" s="782" t="s">
        <v>384</v>
      </c>
      <c r="B14" s="245" t="s">
        <v>952</v>
      </c>
      <c r="C14" s="259">
        <f t="shared" ref="C14:C15" si="0">+D14/$B$9</f>
        <v>9.7323600973236002E-2</v>
      </c>
      <c r="D14" s="533">
        <f>+F14/E14</f>
        <v>166.66666666666666</v>
      </c>
      <c r="E14" s="246">
        <v>1</v>
      </c>
      <c r="F14" s="522">
        <f>+H14/0.9</f>
        <v>166.66666666666666</v>
      </c>
      <c r="G14" s="260">
        <v>0.1</v>
      </c>
      <c r="H14" s="533">
        <v>150</v>
      </c>
      <c r="J14" s="532">
        <f>+'13.Facility 2 Grain Processing-'!J32+'13.Facility 2 Grain Processing-'!B32</f>
        <v>135</v>
      </c>
    </row>
    <row r="15" spans="1:24" x14ac:dyDescent="0.2">
      <c r="A15" s="783"/>
      <c r="B15" s="245" t="s">
        <v>972</v>
      </c>
      <c r="C15" s="259">
        <f t="shared" si="0"/>
        <v>4.3254933765882672E-2</v>
      </c>
      <c r="D15" s="533">
        <f>+F15/E15</f>
        <v>74.074074074074076</v>
      </c>
      <c r="E15" s="246">
        <v>1.5</v>
      </c>
      <c r="F15" s="522">
        <f>+H15/0.9</f>
        <v>111.11111111111111</v>
      </c>
      <c r="G15" s="260">
        <v>0.1</v>
      </c>
      <c r="H15" s="533">
        <v>100</v>
      </c>
      <c r="I15" s="321"/>
      <c r="J15" s="532">
        <f>+'13.Facility 2 Grain Processing-'!J33+'13.Facility 2 Grain Processing-'!B33</f>
        <v>67.5</v>
      </c>
    </row>
    <row r="16" spans="1:24" x14ac:dyDescent="0.2">
      <c r="A16" s="783"/>
      <c r="B16" s="245" t="s">
        <v>889</v>
      </c>
      <c r="C16" s="259">
        <f>+D16/$B$9</f>
        <v>0.27034333603676669</v>
      </c>
      <c r="D16" s="533">
        <f>+F16/E16</f>
        <v>462.96296296296299</v>
      </c>
      <c r="E16" s="246">
        <v>1.2</v>
      </c>
      <c r="F16" s="522">
        <f>+H16/0.9</f>
        <v>555.55555555555554</v>
      </c>
      <c r="G16" s="260">
        <v>0.1</v>
      </c>
      <c r="H16" s="533">
        <v>500</v>
      </c>
      <c r="J16" s="532">
        <f>+'13.Facility 2 Grain Processing-'!J34+'13.Facility 2 Grain Processing-'!B34</f>
        <v>472.5</v>
      </c>
    </row>
    <row r="17" spans="1:10" x14ac:dyDescent="0.2">
      <c r="A17" s="281"/>
      <c r="B17" s="280">
        <v>0</v>
      </c>
      <c r="C17" s="259">
        <v>0</v>
      </c>
      <c r="D17" s="533">
        <f t="shared" ref="D17:D18" si="1">+$B$9*C17</f>
        <v>0</v>
      </c>
      <c r="E17" s="246">
        <v>0</v>
      </c>
      <c r="F17" s="10">
        <f t="shared" ref="F17:F18" si="2">+D17*E17</f>
        <v>0</v>
      </c>
      <c r="G17" s="260">
        <v>0.2</v>
      </c>
      <c r="H17" s="533">
        <f t="shared" ref="H17:H18" si="3">+F17*0.8</f>
        <v>0</v>
      </c>
      <c r="J17" s="532">
        <v>0</v>
      </c>
    </row>
    <row r="18" spans="1:10" x14ac:dyDescent="0.2">
      <c r="A18" s="651" t="s">
        <v>463</v>
      </c>
      <c r="B18" s="280">
        <v>0</v>
      </c>
      <c r="C18" s="259">
        <v>0</v>
      </c>
      <c r="D18" s="533">
        <f t="shared" si="1"/>
        <v>0</v>
      </c>
      <c r="E18" s="246">
        <v>0</v>
      </c>
      <c r="F18" s="10">
        <f t="shared" si="2"/>
        <v>0</v>
      </c>
      <c r="G18" s="260">
        <v>0.2</v>
      </c>
      <c r="H18" s="612">
        <f t="shared" si="3"/>
        <v>0</v>
      </c>
      <c r="J18" s="532">
        <f>450+'[3]13.Facility 2 Grain Processing-'!B36</f>
        <v>450</v>
      </c>
    </row>
    <row r="19" spans="1:10" x14ac:dyDescent="0.2">
      <c r="A19" s="652" t="s">
        <v>449</v>
      </c>
      <c r="B19" s="280"/>
      <c r="C19" s="245">
        <v>0</v>
      </c>
      <c r="D19" s="533"/>
      <c r="E19" s="246"/>
      <c r="F19" s="10"/>
      <c r="G19" s="260"/>
      <c r="H19" s="10"/>
    </row>
    <row r="20" spans="1:10" x14ac:dyDescent="0.2">
      <c r="A20" s="781" t="s">
        <v>386</v>
      </c>
      <c r="B20" s="781"/>
      <c r="C20" s="781"/>
      <c r="D20" s="781"/>
      <c r="E20" s="781"/>
      <c r="F20" s="781"/>
      <c r="G20" s="781"/>
      <c r="H20" s="781"/>
    </row>
    <row r="22" spans="1:10" ht="18" x14ac:dyDescent="0.2">
      <c r="A22" s="773" t="s">
        <v>957</v>
      </c>
      <c r="B22" s="774"/>
      <c r="C22" s="774"/>
      <c r="D22" s="774"/>
      <c r="E22" s="774"/>
      <c r="F22" s="774"/>
      <c r="G22" s="774"/>
      <c r="H22" s="775"/>
    </row>
    <row r="23" spans="1:10" x14ac:dyDescent="0.2">
      <c r="A23" s="776" t="s">
        <v>0</v>
      </c>
      <c r="B23" s="272">
        <v>0.6</v>
      </c>
      <c r="C23" s="272">
        <f>+B23+((C25-B25)/B25)</f>
        <v>0.71111111111111103</v>
      </c>
      <c r="D23" s="272">
        <f t="shared" ref="D23:H23" si="4">+C23+((D25-C25)/C25)</f>
        <v>0.81111111111111123</v>
      </c>
      <c r="E23" s="272">
        <f t="shared" si="4"/>
        <v>0.90202020202020228</v>
      </c>
      <c r="F23" s="272">
        <f t="shared" si="4"/>
        <v>0.98535353535353565</v>
      </c>
      <c r="G23" s="272">
        <f t="shared" si="4"/>
        <v>1.0622766122766125</v>
      </c>
      <c r="H23" s="272">
        <f t="shared" si="4"/>
        <v>1.1337051837051841</v>
      </c>
    </row>
    <row r="24" spans="1:10" x14ac:dyDescent="0.2">
      <c r="A24" s="777"/>
      <c r="B24" s="265" t="s">
        <v>2</v>
      </c>
      <c r="C24" s="265" t="s">
        <v>3</v>
      </c>
      <c r="D24" s="265" t="s">
        <v>4</v>
      </c>
      <c r="E24" s="265" t="s">
        <v>5</v>
      </c>
      <c r="F24" s="265" t="s">
        <v>6</v>
      </c>
      <c r="G24" s="265" t="s">
        <v>163</v>
      </c>
      <c r="H24" s="265" t="s">
        <v>162</v>
      </c>
    </row>
    <row r="25" spans="1:10" x14ac:dyDescent="0.2">
      <c r="A25" s="10" t="str">
        <f>B14</f>
        <v xml:space="preserve">Flax Seed </v>
      </c>
      <c r="B25" s="417">
        <v>81</v>
      </c>
      <c r="C25" s="426">
        <v>90</v>
      </c>
      <c r="D25" s="426">
        <v>99.000000000000014</v>
      </c>
      <c r="E25" s="426">
        <v>108.00000000000003</v>
      </c>
      <c r="F25" s="426">
        <v>117.00000000000003</v>
      </c>
      <c r="G25" s="426">
        <v>126.00000000000003</v>
      </c>
      <c r="H25" s="426">
        <v>135.00000000000006</v>
      </c>
    </row>
    <row r="26" spans="1:10" x14ac:dyDescent="0.2">
      <c r="A26" s="10" t="str">
        <f>B15</f>
        <v>Safflower</v>
      </c>
      <c r="B26" s="426">
        <v>40.5</v>
      </c>
      <c r="C26" s="426">
        <v>45</v>
      </c>
      <c r="D26" s="426">
        <v>49.500000000000007</v>
      </c>
      <c r="E26" s="426">
        <v>54.000000000000014</v>
      </c>
      <c r="F26" s="426">
        <v>58.500000000000014</v>
      </c>
      <c r="G26" s="426">
        <v>63.000000000000014</v>
      </c>
      <c r="H26" s="426">
        <v>67.500000000000028</v>
      </c>
    </row>
    <row r="27" spans="1:10" x14ac:dyDescent="0.2">
      <c r="A27" s="10" t="str">
        <f>B16</f>
        <v>Mustered</v>
      </c>
      <c r="B27" s="426">
        <v>283.5</v>
      </c>
      <c r="C27" s="426">
        <v>315</v>
      </c>
      <c r="D27" s="426">
        <v>346.5</v>
      </c>
      <c r="E27" s="426">
        <v>378.00000000000006</v>
      </c>
      <c r="F27" s="426">
        <v>409.50000000000006</v>
      </c>
      <c r="G27" s="426">
        <v>441.00000000000006</v>
      </c>
      <c r="H27" s="426">
        <v>472.50000000000011</v>
      </c>
    </row>
    <row r="28" spans="1:10" x14ac:dyDescent="0.2">
      <c r="A28" s="322"/>
      <c r="B28" s="323"/>
      <c r="C28" s="323"/>
      <c r="D28" s="323"/>
      <c r="E28" s="323"/>
      <c r="F28" s="323"/>
      <c r="G28" s="323"/>
      <c r="H28" s="324"/>
    </row>
    <row r="29" spans="1:10" ht="18" x14ac:dyDescent="0.2">
      <c r="A29" s="768" t="s">
        <v>521</v>
      </c>
      <c r="B29" s="769"/>
      <c r="C29" s="769"/>
      <c r="D29" s="769"/>
      <c r="E29" s="769"/>
      <c r="F29" s="769"/>
      <c r="G29" s="769"/>
      <c r="H29" s="770"/>
    </row>
    <row r="30" spans="1:10" x14ac:dyDescent="0.2">
      <c r="A30" s="778" t="s">
        <v>0</v>
      </c>
      <c r="B30" s="272">
        <v>0.4</v>
      </c>
      <c r="C30" s="272">
        <f>+B30+((C32-B32)/B32)</f>
        <v>0.51111111111111107</v>
      </c>
      <c r="D30" s="272">
        <f t="shared" ref="D30:H30" si="5">+C30+((D32-C32)/C32)</f>
        <v>0.61111111111111105</v>
      </c>
      <c r="E30" s="272">
        <f t="shared" si="5"/>
        <v>0.70202020202020199</v>
      </c>
      <c r="F30" s="272">
        <f t="shared" si="5"/>
        <v>0.78535353535353536</v>
      </c>
      <c r="G30" s="272">
        <f t="shared" si="5"/>
        <v>0.86227661227661234</v>
      </c>
      <c r="H30" s="272">
        <f t="shared" si="5"/>
        <v>0.93370518370518374</v>
      </c>
    </row>
    <row r="31" spans="1:10" x14ac:dyDescent="0.2">
      <c r="A31" s="779"/>
      <c r="B31" s="265" t="s">
        <v>2</v>
      </c>
      <c r="C31" s="265" t="s">
        <v>3</v>
      </c>
      <c r="D31" s="265" t="s">
        <v>4</v>
      </c>
      <c r="E31" s="265" t="s">
        <v>5</v>
      </c>
      <c r="F31" s="265" t="s">
        <v>6</v>
      </c>
      <c r="G31" s="265" t="s">
        <v>163</v>
      </c>
      <c r="H31" s="265" t="s">
        <v>162</v>
      </c>
    </row>
    <row r="32" spans="1:10" s="13" customFormat="1" x14ac:dyDescent="0.2">
      <c r="A32" s="10" t="str">
        <f>+B14</f>
        <v xml:space="preserve">Flax Seed </v>
      </c>
      <c r="B32" s="10">
        <f>+'13.Facility 2 Grain Processing-'!B32</f>
        <v>54</v>
      </c>
      <c r="C32" s="10">
        <f>+'13.Facility 2 Grain Processing-'!C32</f>
        <v>60</v>
      </c>
      <c r="D32" s="10">
        <f>+'13.Facility 2 Grain Processing-'!D32</f>
        <v>66</v>
      </c>
      <c r="E32" s="10">
        <f>+'13.Facility 2 Grain Processing-'!E32</f>
        <v>72</v>
      </c>
      <c r="F32" s="10">
        <f>+'13.Facility 2 Grain Processing-'!F32</f>
        <v>78</v>
      </c>
      <c r="G32" s="10">
        <f>+'13.Facility 2 Grain Processing-'!G32</f>
        <v>84</v>
      </c>
      <c r="H32" s="10">
        <f>+'13.Facility 2 Grain Processing-'!H32</f>
        <v>90</v>
      </c>
    </row>
    <row r="33" spans="1:9" x14ac:dyDescent="0.2">
      <c r="A33" s="10" t="str">
        <f>A26</f>
        <v>Safflower</v>
      </c>
      <c r="B33" s="10">
        <f>+'13.Facility 2 Grain Processing-'!B33</f>
        <v>27</v>
      </c>
      <c r="C33" s="10">
        <f>+'13.Facility 2 Grain Processing-'!C33</f>
        <v>30</v>
      </c>
      <c r="D33" s="10">
        <f>+'13.Facility 2 Grain Processing-'!D33</f>
        <v>33</v>
      </c>
      <c r="E33" s="10">
        <f>+'13.Facility 2 Grain Processing-'!E33</f>
        <v>36</v>
      </c>
      <c r="F33" s="10">
        <f>+'13.Facility 2 Grain Processing-'!F33</f>
        <v>39</v>
      </c>
      <c r="G33" s="10">
        <f>+'13.Facility 2 Grain Processing-'!G33</f>
        <v>42</v>
      </c>
      <c r="H33" s="10">
        <f>+'13.Facility 2 Grain Processing-'!H33</f>
        <v>45</v>
      </c>
    </row>
    <row r="34" spans="1:9" x14ac:dyDescent="0.2">
      <c r="A34" s="10" t="str">
        <f>A27</f>
        <v>Mustered</v>
      </c>
      <c r="B34" s="10">
        <f>+'13.Facility 2 Grain Processing-'!B34</f>
        <v>189</v>
      </c>
      <c r="C34" s="10">
        <f>+'13.Facility 2 Grain Processing-'!C34</f>
        <v>210</v>
      </c>
      <c r="D34" s="10">
        <f>+'13.Facility 2 Grain Processing-'!D34</f>
        <v>231</v>
      </c>
      <c r="E34" s="10">
        <f>+'13.Facility 2 Grain Processing-'!E34</f>
        <v>252</v>
      </c>
      <c r="F34" s="10">
        <f>+'13.Facility 2 Grain Processing-'!F34</f>
        <v>273</v>
      </c>
      <c r="G34" s="10">
        <f>+'13.Facility 2 Grain Processing-'!G34</f>
        <v>294</v>
      </c>
      <c r="H34" s="10">
        <f>+'13.Facility 2 Grain Processing-'!H34</f>
        <v>315</v>
      </c>
    </row>
    <row r="35" spans="1:9" x14ac:dyDescent="0.2">
      <c r="A35" s="10">
        <f>A28</f>
        <v>0</v>
      </c>
      <c r="B35" s="10">
        <f t="shared" ref="B35:H35" si="6">SUM(B32:B34)</f>
        <v>270</v>
      </c>
      <c r="C35" s="681">
        <f t="shared" si="6"/>
        <v>300</v>
      </c>
      <c r="D35" s="681">
        <f t="shared" si="6"/>
        <v>330</v>
      </c>
      <c r="E35" s="681">
        <f t="shared" si="6"/>
        <v>360</v>
      </c>
      <c r="F35" s="681">
        <f t="shared" si="6"/>
        <v>390</v>
      </c>
      <c r="G35" s="681">
        <f t="shared" si="6"/>
        <v>420</v>
      </c>
      <c r="H35" s="681">
        <f t="shared" si="6"/>
        <v>450</v>
      </c>
    </row>
    <row r="36" spans="1:9" x14ac:dyDescent="0.2">
      <c r="A36" s="322"/>
      <c r="B36" s="323"/>
      <c r="C36" s="323"/>
      <c r="D36" s="323"/>
      <c r="E36" s="323"/>
      <c r="F36" s="323"/>
      <c r="G36" s="323"/>
      <c r="H36" s="324"/>
    </row>
    <row r="37" spans="1:9" ht="18" x14ac:dyDescent="0.2">
      <c r="A37" s="768" t="s">
        <v>522</v>
      </c>
      <c r="B37" s="769"/>
      <c r="C37" s="769"/>
      <c r="D37" s="769"/>
      <c r="E37" s="769"/>
      <c r="F37" s="769"/>
      <c r="G37" s="769"/>
      <c r="H37" s="770"/>
    </row>
    <row r="38" spans="1:9" x14ac:dyDescent="0.2">
      <c r="A38" s="771" t="s">
        <v>0</v>
      </c>
      <c r="B38" s="289">
        <v>1</v>
      </c>
      <c r="C38" s="289">
        <v>1</v>
      </c>
      <c r="D38" s="289">
        <v>1</v>
      </c>
      <c r="E38" s="289">
        <v>1</v>
      </c>
      <c r="F38" s="289">
        <v>1</v>
      </c>
      <c r="G38" s="289">
        <v>1</v>
      </c>
      <c r="H38" s="289">
        <v>1</v>
      </c>
    </row>
    <row r="39" spans="1:9" x14ac:dyDescent="0.2">
      <c r="A39" s="772"/>
      <c r="B39" s="265" t="s">
        <v>2</v>
      </c>
      <c r="C39" s="265" t="s">
        <v>3</v>
      </c>
      <c r="D39" s="265" t="s">
        <v>4</v>
      </c>
      <c r="E39" s="265" t="s">
        <v>5</v>
      </c>
      <c r="F39" s="265" t="s">
        <v>6</v>
      </c>
      <c r="G39" s="265" t="s">
        <v>163</v>
      </c>
      <c r="H39" s="265" t="s">
        <v>162</v>
      </c>
    </row>
    <row r="40" spans="1:9" s="13" customFormat="1" x14ac:dyDescent="0.2">
      <c r="A40" s="10"/>
      <c r="B40" s="10"/>
      <c r="C40" s="263"/>
      <c r="D40" s="263"/>
      <c r="E40" s="263"/>
      <c r="F40" s="263"/>
      <c r="G40" s="263"/>
      <c r="H40" s="263"/>
    </row>
    <row r="41" spans="1:9" x14ac:dyDescent="0.2">
      <c r="A41" s="10" t="str">
        <f>A33</f>
        <v>Safflower</v>
      </c>
      <c r="B41" s="10">
        <v>0</v>
      </c>
      <c r="C41" s="263">
        <v>0</v>
      </c>
      <c r="D41" s="263">
        <f t="shared" ref="D41:H41" si="7">(C41/C$38)*D$38</f>
        <v>0</v>
      </c>
      <c r="E41" s="263">
        <f t="shared" si="7"/>
        <v>0</v>
      </c>
      <c r="F41" s="263">
        <f t="shared" si="7"/>
        <v>0</v>
      </c>
      <c r="G41" s="263">
        <f t="shared" si="7"/>
        <v>0</v>
      </c>
      <c r="H41" s="263">
        <f t="shared" si="7"/>
        <v>0</v>
      </c>
    </row>
    <row r="43" spans="1:9" x14ac:dyDescent="0.2">
      <c r="C43" s="4"/>
      <c r="D43" s="6"/>
      <c r="E43" s="6"/>
      <c r="F43" s="6"/>
      <c r="G43" s="6"/>
      <c r="H43" s="6"/>
      <c r="I43" s="6"/>
    </row>
    <row r="44" spans="1:9" x14ac:dyDescent="0.2">
      <c r="A44" t="s">
        <v>492</v>
      </c>
      <c r="C44" s="648"/>
      <c r="D44" s="648"/>
      <c r="E44" s="648"/>
      <c r="F44" s="648"/>
      <c r="G44" s="648"/>
      <c r="H44" s="648"/>
      <c r="I44" s="648"/>
    </row>
    <row r="45" spans="1:9" x14ac:dyDescent="0.2">
      <c r="A45">
        <v>1</v>
      </c>
      <c r="B45" t="s">
        <v>493</v>
      </c>
    </row>
    <row r="46" spans="1:9" x14ac:dyDescent="0.2">
      <c r="A46">
        <v>2</v>
      </c>
      <c r="B46" t="s">
        <v>494</v>
      </c>
    </row>
    <row r="47" spans="1:9" x14ac:dyDescent="0.2">
      <c r="A47">
        <v>3</v>
      </c>
      <c r="B47" t="s">
        <v>495</v>
      </c>
    </row>
  </sheetData>
  <mergeCells count="11">
    <mergeCell ref="A37:H37"/>
    <mergeCell ref="A38:A39"/>
    <mergeCell ref="A1:H1"/>
    <mergeCell ref="A22:H22"/>
    <mergeCell ref="A23:A24"/>
    <mergeCell ref="A29:H29"/>
    <mergeCell ref="A30:A31"/>
    <mergeCell ref="A3:B3"/>
    <mergeCell ref="A11:H11"/>
    <mergeCell ref="A20:H20"/>
    <mergeCell ref="A14:A16"/>
  </mergeCells>
  <pageMargins left="0.7" right="0.7" top="0.75" bottom="0.75" header="0.3" footer="0.3"/>
  <pageSetup scale="95" fitToHeight="0" orientation="landscape" horizontalDpi="4294967293" r:id="rId1"/>
  <rowBreaks count="1" manualBreakCount="1">
    <brk id="3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zoomScale="70" zoomScaleSheetLayoutView="70" workbookViewId="0" xr3:uid="{C67EF94B-0B3B-5838-830C-E3A509766221}">
      <selection activeCell="G168" sqref="G168"/>
    </sheetView>
  </sheetViews>
  <sheetFormatPr defaultRowHeight="15" x14ac:dyDescent="0.2"/>
  <cols>
    <col min="1" max="1" width="42.375" bestFit="1" customWidth="1"/>
    <col min="2" max="2" width="23.40625" customWidth="1"/>
    <col min="3" max="3" width="11.8359375" customWidth="1"/>
    <col min="4" max="5" width="15.87109375" bestFit="1" customWidth="1"/>
    <col min="6" max="6" width="18.16015625" bestFit="1" customWidth="1"/>
    <col min="7" max="10" width="15.87109375" bestFit="1" customWidth="1"/>
    <col min="11" max="11" width="10.625" bestFit="1" customWidth="1"/>
    <col min="13" max="13" width="22.8671875" bestFit="1" customWidth="1"/>
    <col min="14" max="14" width="12.9140625" bestFit="1" customWidth="1"/>
  </cols>
  <sheetData>
    <row r="2" spans="1:8" ht="18" x14ac:dyDescent="0.2">
      <c r="A2" s="704" t="s">
        <v>527</v>
      </c>
      <c r="B2" s="704"/>
      <c r="C2" s="704"/>
      <c r="D2" s="704"/>
      <c r="E2" s="704"/>
      <c r="F2" s="704"/>
      <c r="G2" s="704"/>
      <c r="H2" s="704"/>
    </row>
    <row r="3" spans="1:8" ht="18" x14ac:dyDescent="0.2">
      <c r="A3" s="704" t="s">
        <v>528</v>
      </c>
      <c r="B3" s="704"/>
      <c r="C3" s="704"/>
      <c r="D3" s="704"/>
      <c r="E3" s="704"/>
      <c r="F3" s="704"/>
      <c r="G3" s="704"/>
      <c r="H3" s="704"/>
    </row>
    <row r="4" spans="1:8" x14ac:dyDescent="0.2">
      <c r="B4" s="78"/>
      <c r="C4" s="78"/>
      <c r="D4" s="78"/>
      <c r="E4" s="78"/>
      <c r="F4" s="705" t="s">
        <v>460</v>
      </c>
      <c r="G4" s="705"/>
      <c r="H4" s="705"/>
    </row>
    <row r="5" spans="1:8" x14ac:dyDescent="0.2">
      <c r="A5" s="78" t="s">
        <v>156</v>
      </c>
      <c r="B5" s="208">
        <f>(2*1000)/100</f>
        <v>20</v>
      </c>
      <c r="C5" s="78" t="s">
        <v>438</v>
      </c>
      <c r="D5" s="78"/>
      <c r="E5" s="78"/>
      <c r="F5" s="248" t="s">
        <v>461</v>
      </c>
      <c r="G5" s="248" t="s">
        <v>462</v>
      </c>
      <c r="H5" s="78"/>
    </row>
    <row r="6" spans="1:8" x14ac:dyDescent="0.2">
      <c r="A6" s="78" t="s">
        <v>157</v>
      </c>
      <c r="B6" s="239">
        <v>8</v>
      </c>
      <c r="C6" s="78"/>
      <c r="D6" s="78"/>
      <c r="E6" s="78"/>
      <c r="F6" s="10" t="s">
        <v>458</v>
      </c>
      <c r="G6" s="277">
        <v>0.03</v>
      </c>
      <c r="H6" s="78"/>
    </row>
    <row r="7" spans="1:8" x14ac:dyDescent="0.2">
      <c r="A7" s="78"/>
      <c r="B7" s="78"/>
      <c r="C7" s="78"/>
      <c r="D7" s="78"/>
      <c r="E7" s="78"/>
      <c r="F7" s="10" t="s">
        <v>459</v>
      </c>
      <c r="G7" s="277">
        <v>0.05</v>
      </c>
      <c r="H7" s="78"/>
    </row>
    <row r="8" spans="1:8" x14ac:dyDescent="0.2">
      <c r="A8" s="78" t="s">
        <v>481</v>
      </c>
      <c r="B8" s="78">
        <v>300</v>
      </c>
      <c r="C8" s="78"/>
      <c r="D8" s="78"/>
      <c r="E8" s="78"/>
      <c r="F8" s="10"/>
      <c r="G8" s="277"/>
      <c r="H8" s="78"/>
    </row>
    <row r="9" spans="1:8" x14ac:dyDescent="0.2">
      <c r="A9" s="122" t="s">
        <v>0</v>
      </c>
      <c r="B9" s="102" t="s">
        <v>2</v>
      </c>
      <c r="C9" s="102" t="s">
        <v>3</v>
      </c>
      <c r="D9" s="102" t="s">
        <v>4</v>
      </c>
      <c r="E9" s="102" t="s">
        <v>5</v>
      </c>
      <c r="F9" s="102" t="s">
        <v>6</v>
      </c>
      <c r="G9" s="102" t="s">
        <v>163</v>
      </c>
      <c r="H9" s="102" t="s">
        <v>162</v>
      </c>
    </row>
    <row r="10" spans="1:8" x14ac:dyDescent="0.2">
      <c r="A10" s="79" t="s">
        <v>437</v>
      </c>
      <c r="B10" s="257">
        <f>B33/($B$5*$B$6)</f>
        <v>2.1874999999999998E-3</v>
      </c>
      <c r="C10" s="257">
        <f t="shared" ref="C10:H10" si="0">C33/($B$5*$B$6)</f>
        <v>2.4999999999999996E-3</v>
      </c>
      <c r="D10" s="257">
        <f t="shared" si="0"/>
        <v>2.8124999999999999E-3</v>
      </c>
      <c r="E10" s="257">
        <f t="shared" si="0"/>
        <v>3.1249999999999997E-3</v>
      </c>
      <c r="F10" s="257">
        <f t="shared" si="0"/>
        <v>3.4374999999999996E-3</v>
      </c>
      <c r="G10" s="257">
        <f t="shared" si="0"/>
        <v>3.7499999999999999E-3</v>
      </c>
      <c r="H10" s="257">
        <f t="shared" si="0"/>
        <v>4.0625000000000001E-3</v>
      </c>
    </row>
    <row r="11" spans="1:8" x14ac:dyDescent="0.2">
      <c r="A11" s="163">
        <f>'11.F&amp;V Crop Production details'!A42</f>
        <v>0</v>
      </c>
      <c r="B11" s="163">
        <f>'11.F&amp;V Crop Production details'!B42</f>
        <v>0</v>
      </c>
      <c r="C11" s="163">
        <f>'11.F&amp;V Crop Production details'!C42</f>
        <v>0</v>
      </c>
      <c r="D11" s="163">
        <f>'11.F&amp;V Crop Production details'!D42</f>
        <v>0</v>
      </c>
      <c r="E11" s="163">
        <f>'11.F&amp;V Crop Production details'!E42</f>
        <v>0</v>
      </c>
      <c r="F11" s="163">
        <f>'11.F&amp;V Crop Production details'!F42</f>
        <v>0</v>
      </c>
      <c r="G11" s="163">
        <f>'11.F&amp;V Crop Production details'!G42</f>
        <v>0</v>
      </c>
      <c r="H11" s="163">
        <f>'11.F&amp;V Crop Production details'!H42</f>
        <v>0</v>
      </c>
    </row>
    <row r="12" spans="1:8" x14ac:dyDescent="0.2">
      <c r="A12" s="163" t="str">
        <f>'11.F&amp;V Crop Production details'!A43</f>
        <v>11.3 Quantity of Marketable Surplus Produce Considered for Trading Business</v>
      </c>
      <c r="B12" s="163">
        <f>'11.F&amp;V Crop Production details'!B43</f>
        <v>0</v>
      </c>
      <c r="C12" s="163">
        <f>'11.F&amp;V Crop Production details'!C43</f>
        <v>0</v>
      </c>
      <c r="D12" s="163">
        <f>'11.F&amp;V Crop Production details'!D43</f>
        <v>0</v>
      </c>
      <c r="E12" s="163">
        <f>'11.F&amp;V Crop Production details'!E43</f>
        <v>0</v>
      </c>
      <c r="F12" s="163">
        <f>'11.F&amp;V Crop Production details'!F43</f>
        <v>0</v>
      </c>
      <c r="G12" s="163">
        <f>'11.F&amp;V Crop Production details'!G43</f>
        <v>0</v>
      </c>
      <c r="H12" s="163">
        <f>'11.F&amp;V Crop Production details'!H43</f>
        <v>0</v>
      </c>
    </row>
    <row r="13" spans="1:8" x14ac:dyDescent="0.2">
      <c r="A13" s="163" t="str">
        <f>'11.F&amp;V Crop Production details'!A44</f>
        <v>Particulars</v>
      </c>
      <c r="B13" s="163">
        <f>'11.F&amp;V Crop Production details'!B44</f>
        <v>0.35</v>
      </c>
      <c r="C13" s="163">
        <f>'11.F&amp;V Crop Production details'!C44</f>
        <v>0.39999999999999997</v>
      </c>
      <c r="D13" s="163">
        <f>'11.F&amp;V Crop Production details'!D44</f>
        <v>0.44999999999999996</v>
      </c>
      <c r="E13" s="163">
        <f>'11.F&amp;V Crop Production details'!E44</f>
        <v>0.49999999999999994</v>
      </c>
      <c r="F13" s="163">
        <f>'11.F&amp;V Crop Production details'!F44</f>
        <v>0.54999999999999993</v>
      </c>
      <c r="G13" s="163">
        <f>'11.F&amp;V Crop Production details'!G44</f>
        <v>0.6</v>
      </c>
      <c r="H13" s="163">
        <f>'11.F&amp;V Crop Production details'!H44</f>
        <v>0.65</v>
      </c>
    </row>
    <row r="14" spans="1:8" x14ac:dyDescent="0.2">
      <c r="A14" s="163">
        <f>'11.F&amp;V Crop Production details'!A45</f>
        <v>0</v>
      </c>
      <c r="B14" s="163" t="str">
        <f>'11.F&amp;V Crop Production details'!B45</f>
        <v>Y1</v>
      </c>
      <c r="C14" s="163" t="str">
        <f>'11.F&amp;V Crop Production details'!C45</f>
        <v>Y2</v>
      </c>
      <c r="D14" s="163" t="str">
        <f>'11.F&amp;V Crop Production details'!D45</f>
        <v>Y3</v>
      </c>
      <c r="E14" s="163" t="str">
        <f>'11.F&amp;V Crop Production details'!E45</f>
        <v>Y4</v>
      </c>
      <c r="F14" s="163" t="str">
        <f>'11.F&amp;V Crop Production details'!F45</f>
        <v>Y5</v>
      </c>
      <c r="G14" s="163" t="str">
        <f>'11.F&amp;V Crop Production details'!G45</f>
        <v>Y6</v>
      </c>
      <c r="H14" s="163" t="str">
        <f>'11.F&amp;V Crop Production details'!H45</f>
        <v>Y7</v>
      </c>
    </row>
    <row r="15" spans="1:8" x14ac:dyDescent="0.2">
      <c r="A15" s="163" t="str">
        <f>'11.F&amp;V Crop Production details'!A46</f>
        <v>Onion</v>
      </c>
      <c r="B15" s="163">
        <f>'11.F&amp;V Crop Production details'!B46</f>
        <v>0</v>
      </c>
      <c r="C15" s="163">
        <f>'11.F&amp;V Crop Production details'!C46</f>
        <v>0</v>
      </c>
      <c r="D15" s="163">
        <f>'11.F&amp;V Crop Production details'!D46</f>
        <v>0</v>
      </c>
      <c r="E15" s="163">
        <f>'11.F&amp;V Crop Production details'!E46</f>
        <v>0</v>
      </c>
      <c r="F15" s="163">
        <f>'11.F&amp;V Crop Production details'!F46</f>
        <v>0</v>
      </c>
      <c r="G15" s="163">
        <f>'11.F&amp;V Crop Production details'!G46</f>
        <v>0</v>
      </c>
      <c r="H15" s="163">
        <f>'11.F&amp;V Crop Production details'!H46</f>
        <v>0</v>
      </c>
    </row>
    <row r="16" spans="1:8" x14ac:dyDescent="0.2">
      <c r="A16" s="163" t="str">
        <f>'11.F&amp;V Crop Production details'!A47</f>
        <v>Tomato</v>
      </c>
      <c r="B16" s="163">
        <f>'11.F&amp;V Crop Production details'!B47</f>
        <v>0</v>
      </c>
      <c r="C16" s="163">
        <f>'11.F&amp;V Crop Production details'!C47</f>
        <v>0</v>
      </c>
      <c r="D16" s="163">
        <f>'11.F&amp;V Crop Production details'!D47</f>
        <v>0</v>
      </c>
      <c r="E16" s="163">
        <f>'11.F&amp;V Crop Production details'!E47</f>
        <v>0</v>
      </c>
      <c r="F16" s="163">
        <f>'11.F&amp;V Crop Production details'!F47</f>
        <v>0</v>
      </c>
      <c r="G16" s="163">
        <f>'11.F&amp;V Crop Production details'!G47</f>
        <v>0</v>
      </c>
      <c r="H16" s="163">
        <f>'11.F&amp;V Crop Production details'!H47</f>
        <v>0</v>
      </c>
    </row>
    <row r="17" spans="1:8" x14ac:dyDescent="0.2">
      <c r="A17" s="163" t="str">
        <f>'11.F&amp;V Crop Production details'!A48</f>
        <v>Okra</v>
      </c>
      <c r="B17" s="163">
        <f>'11.F&amp;V Crop Production details'!B48</f>
        <v>0</v>
      </c>
      <c r="C17" s="163">
        <f>'11.F&amp;V Crop Production details'!C48</f>
        <v>0</v>
      </c>
      <c r="D17" s="163">
        <f>'11.F&amp;V Crop Production details'!D48</f>
        <v>0</v>
      </c>
      <c r="E17" s="163">
        <f>'11.F&amp;V Crop Production details'!E48</f>
        <v>0</v>
      </c>
      <c r="F17" s="163">
        <f>'11.F&amp;V Crop Production details'!F48</f>
        <v>0</v>
      </c>
      <c r="G17" s="163">
        <f>'11.F&amp;V Crop Production details'!G48</f>
        <v>0</v>
      </c>
      <c r="H17" s="163">
        <f>'11.F&amp;V Crop Production details'!H48</f>
        <v>0</v>
      </c>
    </row>
    <row r="18" spans="1:8" x14ac:dyDescent="0.2">
      <c r="A18" s="163" t="str">
        <f>'11.F&amp;V Crop Production details'!A49</f>
        <v>Chilli</v>
      </c>
      <c r="B18" s="163">
        <f>'11.F&amp;V Crop Production details'!B49</f>
        <v>0</v>
      </c>
      <c r="C18" s="163">
        <f>'11.F&amp;V Crop Production details'!C49</f>
        <v>0</v>
      </c>
      <c r="D18" s="163">
        <f>'11.F&amp;V Crop Production details'!D49</f>
        <v>0</v>
      </c>
      <c r="E18" s="163">
        <f>'11.F&amp;V Crop Production details'!E49</f>
        <v>0</v>
      </c>
      <c r="F18" s="163">
        <f>'11.F&amp;V Crop Production details'!F49</f>
        <v>0</v>
      </c>
      <c r="G18" s="163">
        <f>'11.F&amp;V Crop Production details'!G49</f>
        <v>0</v>
      </c>
      <c r="H18" s="163">
        <f>'11.F&amp;V Crop Production details'!H49</f>
        <v>0</v>
      </c>
    </row>
    <row r="19" spans="1:8" x14ac:dyDescent="0.2">
      <c r="A19" s="163" t="str">
        <f>'11.F&amp;V Crop Production details'!A50</f>
        <v>Potato</v>
      </c>
      <c r="B19" s="163">
        <f>'11.F&amp;V Crop Production details'!B50</f>
        <v>0</v>
      </c>
      <c r="C19" s="163">
        <f>'11.F&amp;V Crop Production details'!C50</f>
        <v>0</v>
      </c>
      <c r="D19" s="163">
        <f>'11.F&amp;V Crop Production details'!D50</f>
        <v>0</v>
      </c>
      <c r="E19" s="163">
        <f>'11.F&amp;V Crop Production details'!E50</f>
        <v>0</v>
      </c>
      <c r="F19" s="163">
        <f>'11.F&amp;V Crop Production details'!F50</f>
        <v>0</v>
      </c>
      <c r="G19" s="163">
        <f>'11.F&amp;V Crop Production details'!G50</f>
        <v>0</v>
      </c>
      <c r="H19" s="163">
        <f>'11.F&amp;V Crop Production details'!H50</f>
        <v>0</v>
      </c>
    </row>
    <row r="20" spans="1:8" x14ac:dyDescent="0.2">
      <c r="A20" s="163">
        <f>'11.F&amp;V Crop Production details'!A51</f>
        <v>0</v>
      </c>
      <c r="B20" s="163">
        <f>'11.F&amp;V Crop Production details'!B51</f>
        <v>0</v>
      </c>
      <c r="C20" s="163">
        <f>'11.F&amp;V Crop Production details'!C51</f>
        <v>0</v>
      </c>
      <c r="D20" s="163">
        <f>'11.F&amp;V Crop Production details'!D51</f>
        <v>0</v>
      </c>
      <c r="E20" s="163">
        <f>'11.F&amp;V Crop Production details'!E51</f>
        <v>0</v>
      </c>
      <c r="F20" s="163">
        <f>'11.F&amp;V Crop Production details'!F51</f>
        <v>0</v>
      </c>
      <c r="G20" s="163">
        <f>'11.F&amp;V Crop Production details'!G51</f>
        <v>0</v>
      </c>
      <c r="H20" s="163">
        <f>'11.F&amp;V Crop Production details'!H51</f>
        <v>0</v>
      </c>
    </row>
    <row r="21" spans="1:8" x14ac:dyDescent="0.2">
      <c r="A21" s="163">
        <f>'11.F&amp;V Crop Production details'!A52</f>
        <v>0</v>
      </c>
      <c r="B21" s="163">
        <f>'11.F&amp;V Crop Production details'!B52</f>
        <v>0</v>
      </c>
      <c r="C21" s="163">
        <f>'11.F&amp;V Crop Production details'!C52</f>
        <v>0</v>
      </c>
      <c r="D21" s="163">
        <f>'11.F&amp;V Crop Production details'!D52</f>
        <v>0</v>
      </c>
      <c r="E21" s="163">
        <f>'11.F&amp;V Crop Production details'!E52</f>
        <v>0</v>
      </c>
      <c r="F21" s="163">
        <f>'11.F&amp;V Crop Production details'!F52</f>
        <v>0</v>
      </c>
      <c r="G21" s="163">
        <f>'11.F&amp;V Crop Production details'!G52</f>
        <v>0</v>
      </c>
      <c r="H21" s="163">
        <f>'11.F&amp;V Crop Production details'!H52</f>
        <v>0</v>
      </c>
    </row>
    <row r="22" spans="1:8" x14ac:dyDescent="0.2">
      <c r="A22" s="163">
        <f>'11.F&amp;V Crop Production details'!A53</f>
        <v>0</v>
      </c>
      <c r="B22" s="163">
        <f>'11.F&amp;V Crop Production details'!B53</f>
        <v>0</v>
      </c>
      <c r="C22" s="163">
        <f>'11.F&amp;V Crop Production details'!C53</f>
        <v>0</v>
      </c>
      <c r="D22" s="163">
        <f>'11.F&amp;V Crop Production details'!D53</f>
        <v>0</v>
      </c>
      <c r="E22" s="163">
        <f>'11.F&amp;V Crop Production details'!E53</f>
        <v>0</v>
      </c>
      <c r="F22" s="163">
        <f>'11.F&amp;V Crop Production details'!F53</f>
        <v>0</v>
      </c>
      <c r="G22" s="163">
        <f>'11.F&amp;V Crop Production details'!G53</f>
        <v>0</v>
      </c>
      <c r="H22" s="163">
        <f>'11.F&amp;V Crop Production details'!H53</f>
        <v>0</v>
      </c>
    </row>
    <row r="23" spans="1:8" x14ac:dyDescent="0.2">
      <c r="A23" s="163">
        <f>'11.F&amp;V Crop Production details'!A54</f>
        <v>0</v>
      </c>
      <c r="B23" s="163">
        <f>'11.F&amp;V Crop Production details'!B54</f>
        <v>0</v>
      </c>
      <c r="C23" s="163">
        <f>'11.F&amp;V Crop Production details'!C54</f>
        <v>0</v>
      </c>
      <c r="D23" s="163">
        <f>'11.F&amp;V Crop Production details'!D54</f>
        <v>0</v>
      </c>
      <c r="E23" s="163">
        <f>'11.F&amp;V Crop Production details'!E54</f>
        <v>0</v>
      </c>
      <c r="F23" s="163">
        <f>'11.F&amp;V Crop Production details'!F54</f>
        <v>0</v>
      </c>
      <c r="G23" s="163">
        <f>'11.F&amp;V Crop Production details'!G54</f>
        <v>0</v>
      </c>
      <c r="H23" s="163">
        <f>'11.F&amp;V Crop Production details'!H54</f>
        <v>0</v>
      </c>
    </row>
    <row r="24" spans="1:8" x14ac:dyDescent="0.2">
      <c r="A24" s="163" t="str">
        <f>'11.F&amp;V Crop Production details'!A55</f>
        <v>Onion</v>
      </c>
      <c r="B24" s="163">
        <f>'11.F&amp;V Crop Production details'!B55</f>
        <v>0</v>
      </c>
      <c r="C24" s="163">
        <f>'11.F&amp;V Crop Production details'!C55</f>
        <v>0</v>
      </c>
      <c r="D24" s="163">
        <f>'11.F&amp;V Crop Production details'!D55</f>
        <v>0</v>
      </c>
      <c r="E24" s="163">
        <f>'11.F&amp;V Crop Production details'!E55</f>
        <v>0</v>
      </c>
      <c r="F24" s="163">
        <f>'11.F&amp;V Crop Production details'!F55</f>
        <v>0</v>
      </c>
      <c r="G24" s="163">
        <f>'11.F&amp;V Crop Production details'!G55</f>
        <v>0</v>
      </c>
      <c r="H24" s="163">
        <f>'11.F&amp;V Crop Production details'!H55</f>
        <v>0</v>
      </c>
    </row>
    <row r="25" spans="1:8" x14ac:dyDescent="0.2">
      <c r="A25" s="163" t="str">
        <f>'11.F&amp;V Crop Production details'!A56</f>
        <v>Tomato</v>
      </c>
      <c r="B25" s="163">
        <f>'11.F&amp;V Crop Production details'!B56</f>
        <v>0</v>
      </c>
      <c r="C25" s="163">
        <f>'11.F&amp;V Crop Production details'!C56</f>
        <v>0</v>
      </c>
      <c r="D25" s="163">
        <f>'11.F&amp;V Crop Production details'!D56</f>
        <v>0</v>
      </c>
      <c r="E25" s="163">
        <f>'11.F&amp;V Crop Production details'!E56</f>
        <v>0</v>
      </c>
      <c r="F25" s="163">
        <f>'11.F&amp;V Crop Production details'!F56</f>
        <v>0</v>
      </c>
      <c r="G25" s="163">
        <f>'11.F&amp;V Crop Production details'!G56</f>
        <v>0</v>
      </c>
      <c r="H25" s="163">
        <f>'11.F&amp;V Crop Production details'!H56</f>
        <v>0</v>
      </c>
    </row>
    <row r="26" spans="1:8" x14ac:dyDescent="0.2">
      <c r="A26" s="163" t="str">
        <f>'11.F&amp;V Crop Production details'!A57</f>
        <v>Okra</v>
      </c>
      <c r="B26" s="163">
        <f>'11.F&amp;V Crop Production details'!B57</f>
        <v>0</v>
      </c>
      <c r="C26" s="163">
        <f>'11.F&amp;V Crop Production details'!C57</f>
        <v>0</v>
      </c>
      <c r="D26" s="163">
        <f>'11.F&amp;V Crop Production details'!D57</f>
        <v>0</v>
      </c>
      <c r="E26" s="163">
        <f>'11.F&amp;V Crop Production details'!E57</f>
        <v>0</v>
      </c>
      <c r="F26" s="163">
        <f>'11.F&amp;V Crop Production details'!F57</f>
        <v>0</v>
      </c>
      <c r="G26" s="163">
        <f>'11.F&amp;V Crop Production details'!G57</f>
        <v>0</v>
      </c>
      <c r="H26" s="163">
        <f>'11.F&amp;V Crop Production details'!H57</f>
        <v>0</v>
      </c>
    </row>
    <row r="27" spans="1:8" x14ac:dyDescent="0.2">
      <c r="A27" s="163" t="str">
        <f>'11.F&amp;V Crop Production details'!A58</f>
        <v>Chilli</v>
      </c>
      <c r="B27" s="163">
        <f>'11.F&amp;V Crop Production details'!B58</f>
        <v>0</v>
      </c>
      <c r="C27" s="163">
        <f>'11.F&amp;V Crop Production details'!C58</f>
        <v>0</v>
      </c>
      <c r="D27" s="163">
        <f>'11.F&amp;V Crop Production details'!D58</f>
        <v>0</v>
      </c>
      <c r="E27" s="163">
        <f>'11.F&amp;V Crop Production details'!E58</f>
        <v>0</v>
      </c>
      <c r="F27" s="163">
        <f>'11.F&amp;V Crop Production details'!F58</f>
        <v>0</v>
      </c>
      <c r="G27" s="163">
        <f>'11.F&amp;V Crop Production details'!G58</f>
        <v>0</v>
      </c>
      <c r="H27" s="163">
        <f>'11.F&amp;V Crop Production details'!H58</f>
        <v>0</v>
      </c>
    </row>
    <row r="28" spans="1:8" x14ac:dyDescent="0.2">
      <c r="A28" s="163" t="str">
        <f>'11.F&amp;V Crop Production details'!A59</f>
        <v>Brinjal</v>
      </c>
      <c r="B28" s="163">
        <f>'11.F&amp;V Crop Production details'!B59</f>
        <v>0</v>
      </c>
      <c r="C28" s="163">
        <f>'11.F&amp;V Crop Production details'!C59</f>
        <v>0</v>
      </c>
      <c r="D28" s="163">
        <f>'11.F&amp;V Crop Production details'!D59</f>
        <v>0</v>
      </c>
      <c r="E28" s="163">
        <f>'11.F&amp;V Crop Production details'!E59</f>
        <v>0</v>
      </c>
      <c r="F28" s="163">
        <f>'11.F&amp;V Crop Production details'!F59</f>
        <v>0</v>
      </c>
      <c r="G28" s="163">
        <f>'11.F&amp;V Crop Production details'!G59</f>
        <v>0</v>
      </c>
      <c r="H28" s="163">
        <f>'11.F&amp;V Crop Production details'!H59</f>
        <v>0</v>
      </c>
    </row>
    <row r="29" spans="1:8" x14ac:dyDescent="0.2">
      <c r="A29" s="163">
        <f>'11.F&amp;V Crop Production details'!A60</f>
        <v>0</v>
      </c>
      <c r="B29" s="163">
        <f>'11.F&amp;V Crop Production details'!B60</f>
        <v>0</v>
      </c>
      <c r="C29" s="163">
        <f>'11.F&amp;V Crop Production details'!C60</f>
        <v>0</v>
      </c>
      <c r="D29" s="163">
        <f>'11.F&amp;V Crop Production details'!D60</f>
        <v>0</v>
      </c>
      <c r="E29" s="163">
        <f>'11.F&amp;V Crop Production details'!E60</f>
        <v>0</v>
      </c>
      <c r="F29" s="163">
        <f>'11.F&amp;V Crop Production details'!F60</f>
        <v>0</v>
      </c>
      <c r="G29" s="163">
        <f>'11.F&amp;V Crop Production details'!G60</f>
        <v>0</v>
      </c>
      <c r="H29" s="163">
        <f>'11.F&amp;V Crop Production details'!H60</f>
        <v>0</v>
      </c>
    </row>
    <row r="30" spans="1:8" x14ac:dyDescent="0.2">
      <c r="A30" s="163">
        <f>'11.F&amp;V Crop Production details'!A61</f>
        <v>0</v>
      </c>
      <c r="B30" s="163">
        <f>'11.F&amp;V Crop Production details'!B61</f>
        <v>0</v>
      </c>
      <c r="C30" s="163">
        <f>'11.F&amp;V Crop Production details'!C61</f>
        <v>0</v>
      </c>
      <c r="D30" s="163">
        <f>'11.F&amp;V Crop Production details'!D61</f>
        <v>0</v>
      </c>
      <c r="E30" s="163">
        <f>'11.F&amp;V Crop Production details'!E61</f>
        <v>0</v>
      </c>
      <c r="F30" s="163">
        <f>'11.F&amp;V Crop Production details'!F61</f>
        <v>0</v>
      </c>
      <c r="G30" s="163">
        <f>'11.F&amp;V Crop Production details'!G61</f>
        <v>0</v>
      </c>
      <c r="H30" s="163">
        <f>'11.F&amp;V Crop Production details'!H61</f>
        <v>0</v>
      </c>
    </row>
    <row r="31" spans="1:8" x14ac:dyDescent="0.2">
      <c r="A31" s="163">
        <f>'11.F&amp;V Crop Production details'!A62</f>
        <v>0</v>
      </c>
      <c r="B31" s="163">
        <f>'11.F&amp;V Crop Production details'!B62</f>
        <v>0</v>
      </c>
      <c r="C31" s="163">
        <f>'11.F&amp;V Crop Production details'!C62</f>
        <v>0</v>
      </c>
      <c r="D31" s="163">
        <f>'11.F&amp;V Crop Production details'!D62</f>
        <v>0</v>
      </c>
      <c r="E31" s="163">
        <f>'11.F&amp;V Crop Production details'!E62</f>
        <v>0</v>
      </c>
      <c r="F31" s="163">
        <f>'11.F&amp;V Crop Production details'!F62</f>
        <v>0</v>
      </c>
      <c r="G31" s="163">
        <f>'11.F&amp;V Crop Production details'!G62</f>
        <v>0</v>
      </c>
      <c r="H31" s="163">
        <f>'11.F&amp;V Crop Production details'!H62</f>
        <v>0</v>
      </c>
    </row>
    <row r="32" spans="1:8" x14ac:dyDescent="0.2">
      <c r="A32" s="163">
        <f>'11.F&amp;V Crop Production details'!B63</f>
        <v>0</v>
      </c>
      <c r="B32" s="163">
        <f>'11.F&amp;V Crop Production details'!C63</f>
        <v>0</v>
      </c>
      <c r="C32" s="163">
        <f>'11.F&amp;V Crop Production details'!D63</f>
        <v>0</v>
      </c>
      <c r="D32" s="163">
        <f>'11.F&amp;V Crop Production details'!E63</f>
        <v>0</v>
      </c>
      <c r="E32" s="163">
        <f>'11.F&amp;V Crop Production details'!F63</f>
        <v>0</v>
      </c>
      <c r="F32" s="163">
        <f>'11.F&amp;V Crop Production details'!G63</f>
        <v>0</v>
      </c>
      <c r="G32" s="163">
        <f>'11.F&amp;V Crop Production details'!H63</f>
        <v>0</v>
      </c>
      <c r="H32" s="163">
        <f>'11.F&amp;V Crop Production details'!I63</f>
        <v>0</v>
      </c>
    </row>
    <row r="33" spans="1:8" x14ac:dyDescent="0.2">
      <c r="A33" s="81" t="s">
        <v>478</v>
      </c>
      <c r="B33" s="163">
        <f t="shared" ref="B33:H33" si="1">SUM(B11:B32)</f>
        <v>0.35</v>
      </c>
      <c r="C33" s="163">
        <f t="shared" si="1"/>
        <v>0.39999999999999997</v>
      </c>
      <c r="D33" s="163">
        <f t="shared" si="1"/>
        <v>0.44999999999999996</v>
      </c>
      <c r="E33" s="163">
        <f t="shared" si="1"/>
        <v>0.49999999999999994</v>
      </c>
      <c r="F33" s="163">
        <f t="shared" si="1"/>
        <v>0.54999999999999993</v>
      </c>
      <c r="G33" s="163">
        <f t="shared" si="1"/>
        <v>0.6</v>
      </c>
      <c r="H33" s="163">
        <f t="shared" si="1"/>
        <v>0.65</v>
      </c>
    </row>
    <row r="34" spans="1:8" x14ac:dyDescent="0.2">
      <c r="A34" s="163" t="str">
        <f>'10.Grain Production details.'!A1:H1</f>
        <v>10 Grain Crop Production Details</v>
      </c>
      <c r="B34" s="163"/>
      <c r="C34" s="163"/>
      <c r="D34" s="163"/>
      <c r="E34" s="163"/>
      <c r="F34" s="163"/>
      <c r="G34" s="163"/>
      <c r="H34" s="163"/>
    </row>
    <row r="35" spans="1:8" x14ac:dyDescent="0.2">
      <c r="A35" s="163" t="str">
        <f>'10.Grain Production details.'!A25</f>
        <v xml:space="preserve">Flax Seed </v>
      </c>
      <c r="B35" s="163">
        <f>'10.Grain Production details.'!B25</f>
        <v>81</v>
      </c>
      <c r="C35" s="163">
        <f>'10.Grain Production details.'!C25</f>
        <v>90</v>
      </c>
      <c r="D35" s="163">
        <f>'10.Grain Production details.'!D25</f>
        <v>99.000000000000014</v>
      </c>
      <c r="E35" s="163">
        <f>'10.Grain Production details.'!E25</f>
        <v>108.00000000000003</v>
      </c>
      <c r="F35" s="163">
        <f>'10.Grain Production details.'!F25</f>
        <v>117.00000000000003</v>
      </c>
      <c r="G35" s="163">
        <f>'10.Grain Production details.'!G25</f>
        <v>126.00000000000003</v>
      </c>
      <c r="H35" s="163">
        <f>'10.Grain Production details.'!H25</f>
        <v>135.00000000000006</v>
      </c>
    </row>
    <row r="36" spans="1:8" x14ac:dyDescent="0.2">
      <c r="A36" s="163" t="e">
        <f>'10.Grain Production details.'!#REF!</f>
        <v>#REF!</v>
      </c>
      <c r="B36" s="163" t="e">
        <f>'10.Grain Production details.'!#REF!</f>
        <v>#REF!</v>
      </c>
      <c r="C36" s="163" t="e">
        <f>'10.Grain Production details.'!#REF!</f>
        <v>#REF!</v>
      </c>
      <c r="D36" s="163" t="e">
        <f>'10.Grain Production details.'!#REF!</f>
        <v>#REF!</v>
      </c>
      <c r="E36" s="163" t="e">
        <f>'10.Grain Production details.'!#REF!</f>
        <v>#REF!</v>
      </c>
      <c r="F36" s="163" t="e">
        <f>'10.Grain Production details.'!#REF!</f>
        <v>#REF!</v>
      </c>
      <c r="G36" s="163" t="e">
        <f>'10.Grain Production details.'!#REF!</f>
        <v>#REF!</v>
      </c>
      <c r="H36" s="163" t="e">
        <f>'10.Grain Production details.'!#REF!</f>
        <v>#REF!</v>
      </c>
    </row>
    <row r="37" spans="1:8" x14ac:dyDescent="0.2">
      <c r="A37" s="163" t="e">
        <f>'10.Grain Production details.'!#REF!</f>
        <v>#REF!</v>
      </c>
      <c r="B37" s="163" t="e">
        <f>'10.Grain Production details.'!#REF!</f>
        <v>#REF!</v>
      </c>
      <c r="C37" s="163" t="e">
        <f>'10.Grain Production details.'!#REF!</f>
        <v>#REF!</v>
      </c>
      <c r="D37" s="163" t="e">
        <f>'10.Grain Production details.'!#REF!</f>
        <v>#REF!</v>
      </c>
      <c r="E37" s="163" t="e">
        <f>'10.Grain Production details.'!#REF!</f>
        <v>#REF!</v>
      </c>
      <c r="F37" s="163" t="e">
        <f>'10.Grain Production details.'!#REF!</f>
        <v>#REF!</v>
      </c>
      <c r="G37" s="163" t="e">
        <f>'10.Grain Production details.'!#REF!</f>
        <v>#REF!</v>
      </c>
      <c r="H37" s="163" t="e">
        <f>'10.Grain Production details.'!#REF!</f>
        <v>#REF!</v>
      </c>
    </row>
    <row r="38" spans="1:8" x14ac:dyDescent="0.2">
      <c r="A38" s="163" t="str">
        <f>'10.Grain Production details.'!A26</f>
        <v>Safflower</v>
      </c>
      <c r="B38" s="163">
        <f>'10.Grain Production details.'!B26</f>
        <v>40.5</v>
      </c>
      <c r="C38" s="163">
        <f>'10.Grain Production details.'!C26</f>
        <v>45</v>
      </c>
      <c r="D38" s="163">
        <f>'10.Grain Production details.'!D26</f>
        <v>49.500000000000007</v>
      </c>
      <c r="E38" s="163">
        <f>'10.Grain Production details.'!E26</f>
        <v>54.000000000000014</v>
      </c>
      <c r="F38" s="163">
        <f>'10.Grain Production details.'!F26</f>
        <v>58.500000000000014</v>
      </c>
      <c r="G38" s="163">
        <f>'10.Grain Production details.'!G26</f>
        <v>63.000000000000014</v>
      </c>
      <c r="H38" s="163">
        <f>'10.Grain Production details.'!H26</f>
        <v>67.500000000000028</v>
      </c>
    </row>
    <row r="39" spans="1:8" x14ac:dyDescent="0.2">
      <c r="A39" s="163" t="e">
        <f>'10.Grain Production details.'!#REF!</f>
        <v>#REF!</v>
      </c>
      <c r="B39" s="163" t="e">
        <f>'10.Grain Production details.'!#REF!</f>
        <v>#REF!</v>
      </c>
      <c r="C39" s="163" t="e">
        <f>'10.Grain Production details.'!#REF!</f>
        <v>#REF!</v>
      </c>
      <c r="D39" s="163" t="e">
        <f>'10.Grain Production details.'!#REF!</f>
        <v>#REF!</v>
      </c>
      <c r="E39" s="163" t="e">
        <f>'10.Grain Production details.'!#REF!</f>
        <v>#REF!</v>
      </c>
      <c r="F39" s="163" t="e">
        <f>'10.Grain Production details.'!#REF!</f>
        <v>#REF!</v>
      </c>
      <c r="G39" s="163" t="e">
        <f>'10.Grain Production details.'!#REF!</f>
        <v>#REF!</v>
      </c>
      <c r="H39" s="163" t="e">
        <f>'10.Grain Production details.'!#REF!</f>
        <v>#REF!</v>
      </c>
    </row>
    <row r="40" spans="1:8" x14ac:dyDescent="0.2">
      <c r="A40" s="163" t="e">
        <f>'10.Grain Production details.'!#REF!</f>
        <v>#REF!</v>
      </c>
      <c r="B40" s="163" t="e">
        <f>'10.Grain Production details.'!#REF!</f>
        <v>#REF!</v>
      </c>
      <c r="C40" s="163" t="e">
        <f>'10.Grain Production details.'!#REF!</f>
        <v>#REF!</v>
      </c>
      <c r="D40" s="163" t="e">
        <f>'10.Grain Production details.'!#REF!</f>
        <v>#REF!</v>
      </c>
      <c r="E40" s="163" t="e">
        <f>'10.Grain Production details.'!#REF!</f>
        <v>#REF!</v>
      </c>
      <c r="F40" s="163" t="e">
        <f>'10.Grain Production details.'!#REF!</f>
        <v>#REF!</v>
      </c>
      <c r="G40" s="163" t="e">
        <f>'10.Grain Production details.'!#REF!</f>
        <v>#REF!</v>
      </c>
      <c r="H40" s="163" t="e">
        <f>'10.Grain Production details.'!#REF!</f>
        <v>#REF!</v>
      </c>
    </row>
    <row r="41" spans="1:8" x14ac:dyDescent="0.2">
      <c r="A41" s="163" t="e">
        <f>'10.Grain Production details.'!#REF!</f>
        <v>#REF!</v>
      </c>
      <c r="B41" s="163" t="e">
        <f>'10.Grain Production details.'!#REF!</f>
        <v>#REF!</v>
      </c>
      <c r="C41" s="163" t="e">
        <f>'10.Grain Production details.'!#REF!</f>
        <v>#REF!</v>
      </c>
      <c r="D41" s="163" t="e">
        <f>'10.Grain Production details.'!#REF!</f>
        <v>#REF!</v>
      </c>
      <c r="E41" s="163" t="e">
        <f>'10.Grain Production details.'!#REF!</f>
        <v>#REF!</v>
      </c>
      <c r="F41" s="163" t="e">
        <f>'10.Grain Production details.'!#REF!</f>
        <v>#REF!</v>
      </c>
      <c r="G41" s="163" t="e">
        <f>'10.Grain Production details.'!#REF!</f>
        <v>#REF!</v>
      </c>
      <c r="H41" s="163" t="e">
        <f>'10.Grain Production details.'!#REF!</f>
        <v>#REF!</v>
      </c>
    </row>
    <row r="42" spans="1:8" x14ac:dyDescent="0.2">
      <c r="A42" s="163" t="e">
        <f>'10.Grain Production details.'!#REF!</f>
        <v>#REF!</v>
      </c>
      <c r="B42" s="163" t="e">
        <f>'10.Grain Production details.'!#REF!</f>
        <v>#REF!</v>
      </c>
      <c r="C42" s="163" t="e">
        <f>'10.Grain Production details.'!#REF!</f>
        <v>#REF!</v>
      </c>
      <c r="D42" s="163" t="e">
        <f>'10.Grain Production details.'!#REF!</f>
        <v>#REF!</v>
      </c>
      <c r="E42" s="163" t="e">
        <f>'10.Grain Production details.'!#REF!</f>
        <v>#REF!</v>
      </c>
      <c r="F42" s="163" t="e">
        <f>'10.Grain Production details.'!#REF!</f>
        <v>#REF!</v>
      </c>
      <c r="G42" s="163" t="e">
        <f>'10.Grain Production details.'!#REF!</f>
        <v>#REF!</v>
      </c>
      <c r="H42" s="163" t="e">
        <f>'10.Grain Production details.'!#REF!</f>
        <v>#REF!</v>
      </c>
    </row>
    <row r="43" spans="1:8" x14ac:dyDescent="0.2">
      <c r="A43" s="163" t="e">
        <f>'10.Grain Production details.'!#REF!</f>
        <v>#REF!</v>
      </c>
      <c r="B43" s="163" t="e">
        <f>'10.Grain Production details.'!#REF!</f>
        <v>#REF!</v>
      </c>
      <c r="C43" s="163" t="e">
        <f>'10.Grain Production details.'!#REF!</f>
        <v>#REF!</v>
      </c>
      <c r="D43" s="163" t="e">
        <f>'10.Grain Production details.'!#REF!</f>
        <v>#REF!</v>
      </c>
      <c r="E43" s="163" t="e">
        <f>'10.Grain Production details.'!#REF!</f>
        <v>#REF!</v>
      </c>
      <c r="F43" s="163" t="e">
        <f>'10.Grain Production details.'!#REF!</f>
        <v>#REF!</v>
      </c>
      <c r="G43" s="163" t="e">
        <f>'10.Grain Production details.'!#REF!</f>
        <v>#REF!</v>
      </c>
      <c r="H43" s="163" t="e">
        <f>'10.Grain Production details.'!#REF!</f>
        <v>#REF!</v>
      </c>
    </row>
    <row r="44" spans="1:8" x14ac:dyDescent="0.2">
      <c r="A44" s="163" t="e">
        <f>'10.Grain Production details.'!#REF!</f>
        <v>#REF!</v>
      </c>
      <c r="B44" s="163" t="e">
        <f>'10.Grain Production details.'!#REF!</f>
        <v>#REF!</v>
      </c>
      <c r="C44" s="163" t="e">
        <f>'10.Grain Production details.'!#REF!</f>
        <v>#REF!</v>
      </c>
      <c r="D44" s="163" t="e">
        <f>'10.Grain Production details.'!#REF!</f>
        <v>#REF!</v>
      </c>
      <c r="E44" s="163" t="e">
        <f>'10.Grain Production details.'!#REF!</f>
        <v>#REF!</v>
      </c>
      <c r="F44" s="163" t="e">
        <f>'10.Grain Production details.'!#REF!</f>
        <v>#REF!</v>
      </c>
      <c r="G44" s="163" t="e">
        <f>'10.Grain Production details.'!#REF!</f>
        <v>#REF!</v>
      </c>
      <c r="H44" s="163" t="e">
        <f>'10.Grain Production details.'!#REF!</f>
        <v>#REF!</v>
      </c>
    </row>
    <row r="45" spans="1:8" x14ac:dyDescent="0.2">
      <c r="A45" s="163" t="e">
        <f>'10.Grain Production details.'!#REF!</f>
        <v>#REF!</v>
      </c>
      <c r="B45" s="163" t="e">
        <f>'10.Grain Production details.'!#REF!</f>
        <v>#REF!</v>
      </c>
      <c r="C45" s="163" t="e">
        <f>'10.Grain Production details.'!#REF!</f>
        <v>#REF!</v>
      </c>
      <c r="D45" s="163" t="e">
        <f>'10.Grain Production details.'!#REF!</f>
        <v>#REF!</v>
      </c>
      <c r="E45" s="163" t="e">
        <f>'10.Grain Production details.'!#REF!</f>
        <v>#REF!</v>
      </c>
      <c r="F45" s="163" t="e">
        <f>'10.Grain Production details.'!#REF!</f>
        <v>#REF!</v>
      </c>
      <c r="G45" s="163" t="e">
        <f>'10.Grain Production details.'!#REF!</f>
        <v>#REF!</v>
      </c>
      <c r="H45" s="163" t="e">
        <f>'10.Grain Production details.'!#REF!</f>
        <v>#REF!</v>
      </c>
    </row>
    <row r="46" spans="1:8" x14ac:dyDescent="0.2">
      <c r="A46" s="163" t="e">
        <f>'10.Grain Production details.'!#REF!</f>
        <v>#REF!</v>
      </c>
      <c r="B46" s="163" t="e">
        <f>'10.Grain Production details.'!#REF!</f>
        <v>#REF!</v>
      </c>
      <c r="C46" s="163" t="e">
        <f>'10.Grain Production details.'!#REF!</f>
        <v>#REF!</v>
      </c>
      <c r="D46" s="163" t="e">
        <f>'10.Grain Production details.'!#REF!</f>
        <v>#REF!</v>
      </c>
      <c r="E46" s="163" t="e">
        <f>'10.Grain Production details.'!#REF!</f>
        <v>#REF!</v>
      </c>
      <c r="F46" s="163" t="e">
        <f>'10.Grain Production details.'!#REF!</f>
        <v>#REF!</v>
      </c>
      <c r="G46" s="163" t="e">
        <f>'10.Grain Production details.'!#REF!</f>
        <v>#REF!</v>
      </c>
      <c r="H46" s="163" t="e">
        <f>'10.Grain Production details.'!#REF!</f>
        <v>#REF!</v>
      </c>
    </row>
    <row r="47" spans="1:8" x14ac:dyDescent="0.2">
      <c r="A47" s="163" t="e">
        <f>'10.Grain Production details.'!#REF!</f>
        <v>#REF!</v>
      </c>
      <c r="B47" s="163" t="e">
        <f>'10.Grain Production details.'!#REF!</f>
        <v>#REF!</v>
      </c>
      <c r="C47" s="163" t="e">
        <f>'10.Grain Production details.'!#REF!</f>
        <v>#REF!</v>
      </c>
      <c r="D47" s="163" t="e">
        <f>'10.Grain Production details.'!#REF!</f>
        <v>#REF!</v>
      </c>
      <c r="E47" s="163" t="e">
        <f>'10.Grain Production details.'!#REF!</f>
        <v>#REF!</v>
      </c>
      <c r="F47" s="163" t="e">
        <f>'10.Grain Production details.'!#REF!</f>
        <v>#REF!</v>
      </c>
      <c r="G47" s="163" t="e">
        <f>'10.Grain Production details.'!#REF!</f>
        <v>#REF!</v>
      </c>
      <c r="H47" s="163" t="e">
        <f>'10.Grain Production details.'!#REF!</f>
        <v>#REF!</v>
      </c>
    </row>
    <row r="48" spans="1:8" x14ac:dyDescent="0.2">
      <c r="A48" s="163" t="e">
        <f>'10.Grain Production details.'!#REF!</f>
        <v>#REF!</v>
      </c>
      <c r="B48" s="163" t="e">
        <f>'10.Grain Production details.'!#REF!</f>
        <v>#REF!</v>
      </c>
      <c r="C48" s="163" t="e">
        <f>'10.Grain Production details.'!#REF!</f>
        <v>#REF!</v>
      </c>
      <c r="D48" s="163" t="e">
        <f>'10.Grain Production details.'!#REF!</f>
        <v>#REF!</v>
      </c>
      <c r="E48" s="163" t="e">
        <f>'10.Grain Production details.'!#REF!</f>
        <v>#REF!</v>
      </c>
      <c r="F48" s="163" t="e">
        <f>'10.Grain Production details.'!#REF!</f>
        <v>#REF!</v>
      </c>
      <c r="G48" s="163" t="e">
        <f>'10.Grain Production details.'!#REF!</f>
        <v>#REF!</v>
      </c>
      <c r="H48" s="163" t="e">
        <f>'10.Grain Production details.'!#REF!</f>
        <v>#REF!</v>
      </c>
    </row>
    <row r="49" spans="1:8" x14ac:dyDescent="0.2">
      <c r="A49" s="163" t="e">
        <f>'10.Grain Production details.'!#REF!</f>
        <v>#REF!</v>
      </c>
      <c r="B49" s="163" t="e">
        <f>'10.Grain Production details.'!#REF!</f>
        <v>#REF!</v>
      </c>
      <c r="C49" s="163" t="e">
        <f>'10.Grain Production details.'!#REF!</f>
        <v>#REF!</v>
      </c>
      <c r="D49" s="163" t="e">
        <f>'10.Grain Production details.'!#REF!</f>
        <v>#REF!</v>
      </c>
      <c r="E49" s="163" t="e">
        <f>'10.Grain Production details.'!#REF!</f>
        <v>#REF!</v>
      </c>
      <c r="F49" s="163" t="e">
        <f>'10.Grain Production details.'!#REF!</f>
        <v>#REF!</v>
      </c>
      <c r="G49" s="163" t="e">
        <f>'10.Grain Production details.'!#REF!</f>
        <v>#REF!</v>
      </c>
      <c r="H49" s="163" t="e">
        <f>'10.Grain Production details.'!#REF!</f>
        <v>#REF!</v>
      </c>
    </row>
    <row r="50" spans="1:8" x14ac:dyDescent="0.2">
      <c r="A50" s="163" t="e">
        <f>'10.Grain Production details.'!#REF!</f>
        <v>#REF!</v>
      </c>
      <c r="B50" s="163" t="e">
        <f>'10.Grain Production details.'!#REF!</f>
        <v>#REF!</v>
      </c>
      <c r="C50" s="163" t="e">
        <f>'10.Grain Production details.'!#REF!</f>
        <v>#REF!</v>
      </c>
      <c r="D50" s="163" t="e">
        <f>'10.Grain Production details.'!#REF!</f>
        <v>#REF!</v>
      </c>
      <c r="E50" s="163" t="e">
        <f>'10.Grain Production details.'!#REF!</f>
        <v>#REF!</v>
      </c>
      <c r="F50" s="163" t="e">
        <f>'10.Grain Production details.'!#REF!</f>
        <v>#REF!</v>
      </c>
      <c r="G50" s="163" t="e">
        <f>'10.Grain Production details.'!#REF!</f>
        <v>#REF!</v>
      </c>
      <c r="H50" s="163" t="e">
        <f>'10.Grain Production details.'!#REF!</f>
        <v>#REF!</v>
      </c>
    </row>
    <row r="51" spans="1:8" x14ac:dyDescent="0.2">
      <c r="A51" s="163" t="e">
        <f>'10.Grain Production details.'!#REF!</f>
        <v>#REF!</v>
      </c>
      <c r="B51" s="163" t="e">
        <f>'10.Grain Production details.'!#REF!</f>
        <v>#REF!</v>
      </c>
      <c r="C51" s="163" t="e">
        <f>'10.Grain Production details.'!#REF!</f>
        <v>#REF!</v>
      </c>
      <c r="D51" s="163" t="e">
        <f>'10.Grain Production details.'!#REF!</f>
        <v>#REF!</v>
      </c>
      <c r="E51" s="163" t="e">
        <f>'10.Grain Production details.'!#REF!</f>
        <v>#REF!</v>
      </c>
      <c r="F51" s="163" t="e">
        <f>'10.Grain Production details.'!#REF!</f>
        <v>#REF!</v>
      </c>
      <c r="G51" s="163" t="e">
        <f>'10.Grain Production details.'!#REF!</f>
        <v>#REF!</v>
      </c>
      <c r="H51" s="163" t="e">
        <f>'10.Grain Production details.'!#REF!</f>
        <v>#REF!</v>
      </c>
    </row>
    <row r="52" spans="1:8" x14ac:dyDescent="0.2">
      <c r="A52" s="163" t="e">
        <f>'10.Grain Production details.'!#REF!</f>
        <v>#REF!</v>
      </c>
      <c r="B52" s="163" t="e">
        <f>'10.Grain Production details.'!#REF!</f>
        <v>#REF!</v>
      </c>
      <c r="C52" s="163" t="e">
        <f>'10.Grain Production details.'!#REF!</f>
        <v>#REF!</v>
      </c>
      <c r="D52" s="163" t="e">
        <f>'10.Grain Production details.'!#REF!</f>
        <v>#REF!</v>
      </c>
      <c r="E52" s="163" t="e">
        <f>'10.Grain Production details.'!#REF!</f>
        <v>#REF!</v>
      </c>
      <c r="F52" s="163" t="e">
        <f>'10.Grain Production details.'!#REF!</f>
        <v>#REF!</v>
      </c>
      <c r="G52" s="163" t="e">
        <f>'10.Grain Production details.'!#REF!</f>
        <v>#REF!</v>
      </c>
      <c r="H52" s="163" t="e">
        <f>'10.Grain Production details.'!#REF!</f>
        <v>#REF!</v>
      </c>
    </row>
    <row r="53" spans="1:8" x14ac:dyDescent="0.2">
      <c r="A53" s="163" t="e">
        <f>'10.Grain Production details.'!#REF!</f>
        <v>#REF!</v>
      </c>
      <c r="B53" s="163"/>
      <c r="C53" s="163"/>
      <c r="D53" s="163"/>
      <c r="E53" s="163"/>
      <c r="F53" s="163"/>
      <c r="G53" s="163"/>
      <c r="H53" s="163"/>
    </row>
    <row r="54" spans="1:8" x14ac:dyDescent="0.2">
      <c r="A54" s="163" t="e">
        <f>'10.Grain Production details.'!#REF!</f>
        <v>#REF!</v>
      </c>
      <c r="B54" s="163"/>
      <c r="C54" s="163"/>
      <c r="D54" s="163"/>
      <c r="E54" s="163"/>
      <c r="F54" s="163"/>
      <c r="G54" s="163"/>
      <c r="H54" s="163"/>
    </row>
    <row r="55" spans="1:8" x14ac:dyDescent="0.2">
      <c r="A55" s="163" t="e">
        <f>'10.Grain Production details.'!#REF!</f>
        <v>#REF!</v>
      </c>
      <c r="B55" s="163"/>
      <c r="C55" s="163"/>
      <c r="D55" s="163"/>
      <c r="E55" s="163"/>
      <c r="F55" s="163"/>
      <c r="G55" s="163"/>
      <c r="H55" s="163"/>
    </row>
    <row r="56" spans="1:8" x14ac:dyDescent="0.2">
      <c r="A56" s="163" t="e">
        <f>'10.Grain Production details.'!#REF!</f>
        <v>#REF!</v>
      </c>
      <c r="B56" s="163" t="e">
        <f>'10.Grain Production details.'!#REF!</f>
        <v>#REF!</v>
      </c>
      <c r="C56" s="163" t="e">
        <f>'10.Grain Production details.'!#REF!</f>
        <v>#REF!</v>
      </c>
      <c r="D56" s="163" t="e">
        <f>'10.Grain Production details.'!#REF!</f>
        <v>#REF!</v>
      </c>
      <c r="E56" s="163" t="e">
        <f>'10.Grain Production details.'!#REF!</f>
        <v>#REF!</v>
      </c>
      <c r="F56" s="163" t="e">
        <f>'10.Grain Production details.'!#REF!</f>
        <v>#REF!</v>
      </c>
      <c r="G56" s="163" t="e">
        <f>'10.Grain Production details.'!#REF!</f>
        <v>#REF!</v>
      </c>
      <c r="H56" s="163" t="e">
        <f>'10.Grain Production details.'!#REF!</f>
        <v>#REF!</v>
      </c>
    </row>
    <row r="57" spans="1:8" x14ac:dyDescent="0.2">
      <c r="A57" s="163" t="e">
        <f>'10.Grain Production details.'!#REF!</f>
        <v>#REF!</v>
      </c>
      <c r="B57" s="163" t="e">
        <f>'10.Grain Production details.'!#REF!</f>
        <v>#REF!</v>
      </c>
      <c r="C57" s="163" t="e">
        <f>'10.Grain Production details.'!#REF!</f>
        <v>#REF!</v>
      </c>
      <c r="D57" s="163" t="e">
        <f>'10.Grain Production details.'!#REF!</f>
        <v>#REF!</v>
      </c>
      <c r="E57" s="163" t="e">
        <f>'10.Grain Production details.'!#REF!</f>
        <v>#REF!</v>
      </c>
      <c r="F57" s="163" t="e">
        <f>'10.Grain Production details.'!#REF!</f>
        <v>#REF!</v>
      </c>
      <c r="G57" s="163" t="e">
        <f>'10.Grain Production details.'!#REF!</f>
        <v>#REF!</v>
      </c>
      <c r="H57" s="163" t="e">
        <f>'10.Grain Production details.'!#REF!</f>
        <v>#REF!</v>
      </c>
    </row>
    <row r="58" spans="1:8" x14ac:dyDescent="0.2">
      <c r="A58" s="163" t="e">
        <f>'10.Grain Production details.'!#REF!</f>
        <v>#REF!</v>
      </c>
      <c r="B58" s="163" t="e">
        <f>'10.Grain Production details.'!#REF!</f>
        <v>#REF!</v>
      </c>
      <c r="C58" s="163" t="e">
        <f>'10.Grain Production details.'!#REF!</f>
        <v>#REF!</v>
      </c>
      <c r="D58" s="163" t="e">
        <f>'10.Grain Production details.'!#REF!</f>
        <v>#REF!</v>
      </c>
      <c r="E58" s="163" t="e">
        <f>'10.Grain Production details.'!#REF!</f>
        <v>#REF!</v>
      </c>
      <c r="F58" s="163" t="e">
        <f>'10.Grain Production details.'!#REF!</f>
        <v>#REF!</v>
      </c>
      <c r="G58" s="163" t="e">
        <f>'10.Grain Production details.'!#REF!</f>
        <v>#REF!</v>
      </c>
      <c r="H58" s="163" t="e">
        <f>'10.Grain Production details.'!#REF!</f>
        <v>#REF!</v>
      </c>
    </row>
    <row r="59" spans="1:8" x14ac:dyDescent="0.2">
      <c r="A59" s="163" t="e">
        <f>'10.Grain Production details.'!#REF!</f>
        <v>#REF!</v>
      </c>
      <c r="B59" s="163" t="e">
        <f>'10.Grain Production details.'!#REF!</f>
        <v>#REF!</v>
      </c>
      <c r="C59" s="163" t="e">
        <f>'10.Grain Production details.'!#REF!</f>
        <v>#REF!</v>
      </c>
      <c r="D59" s="163" t="e">
        <f>'10.Grain Production details.'!#REF!</f>
        <v>#REF!</v>
      </c>
      <c r="E59" s="163" t="e">
        <f>'10.Grain Production details.'!#REF!</f>
        <v>#REF!</v>
      </c>
      <c r="F59" s="163" t="e">
        <f>'10.Grain Production details.'!#REF!</f>
        <v>#REF!</v>
      </c>
      <c r="G59" s="163" t="e">
        <f>'10.Grain Production details.'!#REF!</f>
        <v>#REF!</v>
      </c>
      <c r="H59" s="163" t="e">
        <f>'10.Grain Production details.'!#REF!</f>
        <v>#REF!</v>
      </c>
    </row>
    <row r="60" spans="1:8" x14ac:dyDescent="0.2">
      <c r="A60" s="163"/>
      <c r="B60" s="163"/>
      <c r="C60" s="163"/>
      <c r="D60" s="163"/>
      <c r="E60" s="163"/>
      <c r="F60" s="163"/>
      <c r="G60" s="163"/>
      <c r="H60" s="163"/>
    </row>
    <row r="61" spans="1:8" x14ac:dyDescent="0.2">
      <c r="A61" s="81" t="s">
        <v>477</v>
      </c>
      <c r="B61" s="163" t="e">
        <f t="shared" ref="B61:H61" si="2">SUM(B35:B59)</f>
        <v>#REF!</v>
      </c>
      <c r="C61" s="163" t="e">
        <f t="shared" si="2"/>
        <v>#REF!</v>
      </c>
      <c r="D61" s="163" t="e">
        <f t="shared" si="2"/>
        <v>#REF!</v>
      </c>
      <c r="E61" s="163" t="e">
        <f t="shared" si="2"/>
        <v>#REF!</v>
      </c>
      <c r="F61" s="163" t="e">
        <f t="shared" si="2"/>
        <v>#REF!</v>
      </c>
      <c r="G61" s="163" t="e">
        <f t="shared" si="2"/>
        <v>#REF!</v>
      </c>
      <c r="H61" s="163" t="e">
        <f t="shared" si="2"/>
        <v>#REF!</v>
      </c>
    </row>
    <row r="62" spans="1:8" x14ac:dyDescent="0.2">
      <c r="A62" s="240" t="s">
        <v>479</v>
      </c>
      <c r="B62" s="258">
        <v>0.5</v>
      </c>
      <c r="C62" s="258">
        <v>0.5</v>
      </c>
      <c r="D62" s="258">
        <v>0.5</v>
      </c>
      <c r="E62" s="258">
        <v>0.5</v>
      </c>
      <c r="F62" s="258">
        <v>0.5</v>
      </c>
      <c r="G62" s="258">
        <v>0.5</v>
      </c>
      <c r="H62" s="258">
        <v>0.5</v>
      </c>
    </row>
    <row r="63" spans="1:8" x14ac:dyDescent="0.2">
      <c r="A63" s="240" t="s">
        <v>480</v>
      </c>
      <c r="B63" s="258">
        <f t="shared" ref="B63:H63" si="3">1-B62</f>
        <v>0.5</v>
      </c>
      <c r="C63" s="258">
        <f t="shared" si="3"/>
        <v>0.5</v>
      </c>
      <c r="D63" s="258">
        <f t="shared" si="3"/>
        <v>0.5</v>
      </c>
      <c r="E63" s="258">
        <f t="shared" si="3"/>
        <v>0.5</v>
      </c>
      <c r="F63" s="258">
        <f t="shared" si="3"/>
        <v>0.5</v>
      </c>
      <c r="G63" s="258">
        <f t="shared" si="3"/>
        <v>0.5</v>
      </c>
      <c r="H63" s="258">
        <f t="shared" si="3"/>
        <v>0.5</v>
      </c>
    </row>
    <row r="64" spans="1:8" x14ac:dyDescent="0.2">
      <c r="A64" s="240"/>
      <c r="B64" s="258"/>
      <c r="C64" s="258"/>
      <c r="D64" s="258"/>
      <c r="E64" s="258"/>
      <c r="F64" s="258"/>
      <c r="G64" s="258"/>
      <c r="H64" s="258"/>
    </row>
    <row r="65" spans="1:8" x14ac:dyDescent="0.2">
      <c r="A65" s="240" t="s">
        <v>160</v>
      </c>
      <c r="B65" s="241">
        <f t="shared" ref="B65:H65" si="4">B33*B62</f>
        <v>0.17499999999999999</v>
      </c>
      <c r="C65" s="241">
        <f t="shared" si="4"/>
        <v>0.19999999999999998</v>
      </c>
      <c r="D65" s="241">
        <f t="shared" si="4"/>
        <v>0.22499999999999998</v>
      </c>
      <c r="E65" s="241">
        <f t="shared" si="4"/>
        <v>0.24999999999999997</v>
      </c>
      <c r="F65" s="241">
        <f t="shared" si="4"/>
        <v>0.27499999999999997</v>
      </c>
      <c r="G65" s="241">
        <f t="shared" si="4"/>
        <v>0.3</v>
      </c>
      <c r="H65" s="241">
        <f t="shared" si="4"/>
        <v>0.32500000000000001</v>
      </c>
    </row>
    <row r="66" spans="1:8" x14ac:dyDescent="0.2">
      <c r="A66" s="81"/>
      <c r="B66" s="163"/>
      <c r="C66" s="163"/>
      <c r="D66" s="163"/>
      <c r="E66" s="163"/>
      <c r="F66" s="163"/>
      <c r="G66" s="163"/>
      <c r="H66" s="163"/>
    </row>
    <row r="67" spans="1:8" x14ac:dyDescent="0.2">
      <c r="A67" s="81" t="s">
        <v>161</v>
      </c>
      <c r="B67" s="163"/>
      <c r="C67" s="163"/>
      <c r="D67" s="163"/>
      <c r="E67" s="163"/>
      <c r="F67" s="163"/>
      <c r="G67" s="163"/>
      <c r="H67" s="163"/>
    </row>
    <row r="68" spans="1:8" x14ac:dyDescent="0.2">
      <c r="A68" s="79">
        <f t="shared" ref="A68:A89" si="5">A11</f>
        <v>0</v>
      </c>
      <c r="B68" s="256">
        <f t="shared" ref="B68:B89" si="6">B11*$B$63</f>
        <v>0</v>
      </c>
      <c r="C68" s="256">
        <f t="shared" ref="C68:C83" si="7">C11*$C$63</f>
        <v>0</v>
      </c>
      <c r="D68" s="256">
        <f t="shared" ref="D68:D83" si="8">D11*$D$63</f>
        <v>0</v>
      </c>
      <c r="E68" s="256">
        <f t="shared" ref="E68:E83" si="9">E11*$E$63</f>
        <v>0</v>
      </c>
      <c r="F68" s="256">
        <f t="shared" ref="F68:F83" si="10">F11*$F$63</f>
        <v>0</v>
      </c>
      <c r="G68" s="256">
        <f t="shared" ref="G68:G83" si="11">G11*$G$63</f>
        <v>0</v>
      </c>
      <c r="H68" s="256">
        <f t="shared" ref="H68:H83" si="12">H11*$H$63</f>
        <v>0</v>
      </c>
    </row>
    <row r="69" spans="1:8" x14ac:dyDescent="0.2">
      <c r="A69" s="79" t="str">
        <f t="shared" si="5"/>
        <v>11.3 Quantity of Marketable Surplus Produce Considered for Trading Business</v>
      </c>
      <c r="B69" s="256">
        <f t="shared" si="6"/>
        <v>0</v>
      </c>
      <c r="C69" s="256">
        <f t="shared" si="7"/>
        <v>0</v>
      </c>
      <c r="D69" s="256">
        <f t="shared" si="8"/>
        <v>0</v>
      </c>
      <c r="E69" s="256">
        <f t="shared" si="9"/>
        <v>0</v>
      </c>
      <c r="F69" s="256">
        <f t="shared" si="10"/>
        <v>0</v>
      </c>
      <c r="G69" s="256">
        <f t="shared" si="11"/>
        <v>0</v>
      </c>
      <c r="H69" s="256">
        <f t="shared" si="12"/>
        <v>0</v>
      </c>
    </row>
    <row r="70" spans="1:8" x14ac:dyDescent="0.2">
      <c r="A70" s="79" t="str">
        <f t="shared" si="5"/>
        <v>Particulars</v>
      </c>
      <c r="B70" s="256">
        <f t="shared" si="6"/>
        <v>0.17499999999999999</v>
      </c>
      <c r="C70" s="256">
        <f t="shared" si="7"/>
        <v>0.19999999999999998</v>
      </c>
      <c r="D70" s="256">
        <f t="shared" si="8"/>
        <v>0.22499999999999998</v>
      </c>
      <c r="E70" s="256">
        <f t="shared" si="9"/>
        <v>0.24999999999999997</v>
      </c>
      <c r="F70" s="256">
        <f t="shared" si="10"/>
        <v>0.27499999999999997</v>
      </c>
      <c r="G70" s="256">
        <f t="shared" si="11"/>
        <v>0.3</v>
      </c>
      <c r="H70" s="256">
        <f t="shared" si="12"/>
        <v>0.32500000000000001</v>
      </c>
    </row>
    <row r="71" spans="1:8" x14ac:dyDescent="0.2">
      <c r="A71" s="79">
        <f t="shared" si="5"/>
        <v>0</v>
      </c>
      <c r="B71" s="256" t="e">
        <f t="shared" si="6"/>
        <v>#VALUE!</v>
      </c>
      <c r="C71" s="256" t="e">
        <f t="shared" si="7"/>
        <v>#VALUE!</v>
      </c>
      <c r="D71" s="256" t="e">
        <f t="shared" si="8"/>
        <v>#VALUE!</v>
      </c>
      <c r="E71" s="256" t="e">
        <f t="shared" si="9"/>
        <v>#VALUE!</v>
      </c>
      <c r="F71" s="256" t="e">
        <f t="shared" si="10"/>
        <v>#VALUE!</v>
      </c>
      <c r="G71" s="256" t="e">
        <f t="shared" si="11"/>
        <v>#VALUE!</v>
      </c>
      <c r="H71" s="256" t="e">
        <f t="shared" si="12"/>
        <v>#VALUE!</v>
      </c>
    </row>
    <row r="72" spans="1:8" x14ac:dyDescent="0.2">
      <c r="A72" s="79" t="str">
        <f t="shared" si="5"/>
        <v>Onion</v>
      </c>
      <c r="B72" s="256">
        <f t="shared" si="6"/>
        <v>0</v>
      </c>
      <c r="C72" s="256">
        <f t="shared" si="7"/>
        <v>0</v>
      </c>
      <c r="D72" s="256">
        <f t="shared" si="8"/>
        <v>0</v>
      </c>
      <c r="E72" s="256">
        <f t="shared" si="9"/>
        <v>0</v>
      </c>
      <c r="F72" s="256">
        <f t="shared" si="10"/>
        <v>0</v>
      </c>
      <c r="G72" s="256">
        <f t="shared" si="11"/>
        <v>0</v>
      </c>
      <c r="H72" s="256">
        <f t="shared" si="12"/>
        <v>0</v>
      </c>
    </row>
    <row r="73" spans="1:8" x14ac:dyDescent="0.2">
      <c r="A73" s="79" t="str">
        <f t="shared" si="5"/>
        <v>Tomato</v>
      </c>
      <c r="B73" s="256">
        <f t="shared" si="6"/>
        <v>0</v>
      </c>
      <c r="C73" s="256">
        <f t="shared" si="7"/>
        <v>0</v>
      </c>
      <c r="D73" s="256">
        <f t="shared" si="8"/>
        <v>0</v>
      </c>
      <c r="E73" s="256">
        <f t="shared" si="9"/>
        <v>0</v>
      </c>
      <c r="F73" s="256">
        <f t="shared" si="10"/>
        <v>0</v>
      </c>
      <c r="G73" s="256">
        <f t="shared" si="11"/>
        <v>0</v>
      </c>
      <c r="H73" s="256">
        <f t="shared" si="12"/>
        <v>0</v>
      </c>
    </row>
    <row r="74" spans="1:8" x14ac:dyDescent="0.2">
      <c r="A74" s="79" t="str">
        <f t="shared" si="5"/>
        <v>Okra</v>
      </c>
      <c r="B74" s="256">
        <f t="shared" si="6"/>
        <v>0</v>
      </c>
      <c r="C74" s="256">
        <f t="shared" si="7"/>
        <v>0</v>
      </c>
      <c r="D74" s="256">
        <f t="shared" si="8"/>
        <v>0</v>
      </c>
      <c r="E74" s="256">
        <f t="shared" si="9"/>
        <v>0</v>
      </c>
      <c r="F74" s="256">
        <f t="shared" si="10"/>
        <v>0</v>
      </c>
      <c r="G74" s="256">
        <f t="shared" si="11"/>
        <v>0</v>
      </c>
      <c r="H74" s="256">
        <f t="shared" si="12"/>
        <v>0</v>
      </c>
    </row>
    <row r="75" spans="1:8" x14ac:dyDescent="0.2">
      <c r="A75" s="79" t="str">
        <f t="shared" si="5"/>
        <v>Chilli</v>
      </c>
      <c r="B75" s="256">
        <f t="shared" si="6"/>
        <v>0</v>
      </c>
      <c r="C75" s="256">
        <f t="shared" si="7"/>
        <v>0</v>
      </c>
      <c r="D75" s="256">
        <f t="shared" si="8"/>
        <v>0</v>
      </c>
      <c r="E75" s="256">
        <f t="shared" si="9"/>
        <v>0</v>
      </c>
      <c r="F75" s="256">
        <f t="shared" si="10"/>
        <v>0</v>
      </c>
      <c r="G75" s="256">
        <f t="shared" si="11"/>
        <v>0</v>
      </c>
      <c r="H75" s="256">
        <f t="shared" si="12"/>
        <v>0</v>
      </c>
    </row>
    <row r="76" spans="1:8" x14ac:dyDescent="0.2">
      <c r="A76" s="79" t="str">
        <f t="shared" si="5"/>
        <v>Potato</v>
      </c>
      <c r="B76" s="256">
        <f t="shared" si="6"/>
        <v>0</v>
      </c>
      <c r="C76" s="256">
        <f t="shared" si="7"/>
        <v>0</v>
      </c>
      <c r="D76" s="256">
        <f t="shared" si="8"/>
        <v>0</v>
      </c>
      <c r="E76" s="256">
        <f t="shared" si="9"/>
        <v>0</v>
      </c>
      <c r="F76" s="256">
        <f t="shared" si="10"/>
        <v>0</v>
      </c>
      <c r="G76" s="256">
        <f t="shared" si="11"/>
        <v>0</v>
      </c>
      <c r="H76" s="256">
        <f t="shared" si="12"/>
        <v>0</v>
      </c>
    </row>
    <row r="77" spans="1:8" x14ac:dyDescent="0.2">
      <c r="A77" s="79">
        <f t="shared" si="5"/>
        <v>0</v>
      </c>
      <c r="B77" s="256">
        <f t="shared" si="6"/>
        <v>0</v>
      </c>
      <c r="C77" s="256">
        <f t="shared" si="7"/>
        <v>0</v>
      </c>
      <c r="D77" s="256">
        <f t="shared" si="8"/>
        <v>0</v>
      </c>
      <c r="E77" s="256">
        <f t="shared" si="9"/>
        <v>0</v>
      </c>
      <c r="F77" s="256">
        <f t="shared" si="10"/>
        <v>0</v>
      </c>
      <c r="G77" s="256">
        <f t="shared" si="11"/>
        <v>0</v>
      </c>
      <c r="H77" s="256">
        <f t="shared" si="12"/>
        <v>0</v>
      </c>
    </row>
    <row r="78" spans="1:8" x14ac:dyDescent="0.2">
      <c r="A78" s="79">
        <f t="shared" si="5"/>
        <v>0</v>
      </c>
      <c r="B78" s="256">
        <f t="shared" si="6"/>
        <v>0</v>
      </c>
      <c r="C78" s="256">
        <f t="shared" si="7"/>
        <v>0</v>
      </c>
      <c r="D78" s="256">
        <f t="shared" si="8"/>
        <v>0</v>
      </c>
      <c r="E78" s="256">
        <f t="shared" si="9"/>
        <v>0</v>
      </c>
      <c r="F78" s="256">
        <f t="shared" si="10"/>
        <v>0</v>
      </c>
      <c r="G78" s="256">
        <f t="shared" si="11"/>
        <v>0</v>
      </c>
      <c r="H78" s="256">
        <f t="shared" si="12"/>
        <v>0</v>
      </c>
    </row>
    <row r="79" spans="1:8" x14ac:dyDescent="0.2">
      <c r="A79" s="79">
        <f t="shared" si="5"/>
        <v>0</v>
      </c>
      <c r="B79" s="256">
        <f t="shared" si="6"/>
        <v>0</v>
      </c>
      <c r="C79" s="256">
        <f t="shared" si="7"/>
        <v>0</v>
      </c>
      <c r="D79" s="256">
        <f t="shared" si="8"/>
        <v>0</v>
      </c>
      <c r="E79" s="256">
        <f t="shared" si="9"/>
        <v>0</v>
      </c>
      <c r="F79" s="256">
        <f t="shared" si="10"/>
        <v>0</v>
      </c>
      <c r="G79" s="256">
        <f t="shared" si="11"/>
        <v>0</v>
      </c>
      <c r="H79" s="256">
        <f t="shared" si="12"/>
        <v>0</v>
      </c>
    </row>
    <row r="80" spans="1:8" x14ac:dyDescent="0.2">
      <c r="A80" s="79">
        <f t="shared" si="5"/>
        <v>0</v>
      </c>
      <c r="B80" s="256">
        <f t="shared" si="6"/>
        <v>0</v>
      </c>
      <c r="C80" s="256">
        <f t="shared" si="7"/>
        <v>0</v>
      </c>
      <c r="D80" s="256">
        <f t="shared" si="8"/>
        <v>0</v>
      </c>
      <c r="E80" s="256">
        <f t="shared" si="9"/>
        <v>0</v>
      </c>
      <c r="F80" s="256">
        <f t="shared" si="10"/>
        <v>0</v>
      </c>
      <c r="G80" s="256">
        <f t="shared" si="11"/>
        <v>0</v>
      </c>
      <c r="H80" s="256">
        <f t="shared" si="12"/>
        <v>0</v>
      </c>
    </row>
    <row r="81" spans="1:12" x14ac:dyDescent="0.2">
      <c r="A81" s="79" t="str">
        <f t="shared" si="5"/>
        <v>Onion</v>
      </c>
      <c r="B81" s="256">
        <f t="shared" si="6"/>
        <v>0</v>
      </c>
      <c r="C81" s="256">
        <f t="shared" si="7"/>
        <v>0</v>
      </c>
      <c r="D81" s="256">
        <f t="shared" si="8"/>
        <v>0</v>
      </c>
      <c r="E81" s="256">
        <f t="shared" si="9"/>
        <v>0</v>
      </c>
      <c r="F81" s="256">
        <f t="shared" si="10"/>
        <v>0</v>
      </c>
      <c r="G81" s="256">
        <f t="shared" si="11"/>
        <v>0</v>
      </c>
      <c r="H81" s="256">
        <f t="shared" si="12"/>
        <v>0</v>
      </c>
    </row>
    <row r="82" spans="1:12" x14ac:dyDescent="0.2">
      <c r="A82" s="79" t="str">
        <f t="shared" si="5"/>
        <v>Tomato</v>
      </c>
      <c r="B82" s="256">
        <f t="shared" si="6"/>
        <v>0</v>
      </c>
      <c r="C82" s="256">
        <f t="shared" si="7"/>
        <v>0</v>
      </c>
      <c r="D82" s="256">
        <f t="shared" si="8"/>
        <v>0</v>
      </c>
      <c r="E82" s="256">
        <f t="shared" si="9"/>
        <v>0</v>
      </c>
      <c r="F82" s="256">
        <f t="shared" si="10"/>
        <v>0</v>
      </c>
      <c r="G82" s="256">
        <f t="shared" si="11"/>
        <v>0</v>
      </c>
      <c r="H82" s="256">
        <f t="shared" si="12"/>
        <v>0</v>
      </c>
    </row>
    <row r="83" spans="1:12" x14ac:dyDescent="0.2">
      <c r="A83" s="79" t="str">
        <f t="shared" si="5"/>
        <v>Okra</v>
      </c>
      <c r="B83" s="256">
        <f t="shared" si="6"/>
        <v>0</v>
      </c>
      <c r="C83" s="256">
        <f t="shared" si="7"/>
        <v>0</v>
      </c>
      <c r="D83" s="256">
        <f t="shared" si="8"/>
        <v>0</v>
      </c>
      <c r="E83" s="256">
        <f t="shared" si="9"/>
        <v>0</v>
      </c>
      <c r="F83" s="256">
        <f t="shared" si="10"/>
        <v>0</v>
      </c>
      <c r="G83" s="256">
        <f t="shared" si="11"/>
        <v>0</v>
      </c>
      <c r="H83" s="256">
        <f t="shared" si="12"/>
        <v>0</v>
      </c>
    </row>
    <row r="84" spans="1:12" x14ac:dyDescent="0.2">
      <c r="A84" s="79" t="str">
        <f t="shared" si="5"/>
        <v>Chilli</v>
      </c>
      <c r="B84" s="256">
        <f t="shared" si="6"/>
        <v>0</v>
      </c>
      <c r="C84" s="256">
        <f t="shared" ref="C84:H89" si="13">C27*$B$63</f>
        <v>0</v>
      </c>
      <c r="D84" s="256">
        <f t="shared" si="13"/>
        <v>0</v>
      </c>
      <c r="E84" s="256">
        <f t="shared" si="13"/>
        <v>0</v>
      </c>
      <c r="F84" s="256">
        <f t="shared" si="13"/>
        <v>0</v>
      </c>
      <c r="G84" s="256">
        <f t="shared" si="13"/>
        <v>0</v>
      </c>
      <c r="H84" s="256">
        <f t="shared" si="13"/>
        <v>0</v>
      </c>
    </row>
    <row r="85" spans="1:12" x14ac:dyDescent="0.2">
      <c r="A85" s="79" t="str">
        <f t="shared" si="5"/>
        <v>Brinjal</v>
      </c>
      <c r="B85" s="256">
        <f t="shared" si="6"/>
        <v>0</v>
      </c>
      <c r="C85" s="256">
        <f t="shared" si="13"/>
        <v>0</v>
      </c>
      <c r="D85" s="256">
        <f t="shared" si="13"/>
        <v>0</v>
      </c>
      <c r="E85" s="256">
        <f t="shared" si="13"/>
        <v>0</v>
      </c>
      <c r="F85" s="256">
        <f t="shared" si="13"/>
        <v>0</v>
      </c>
      <c r="G85" s="256">
        <f t="shared" si="13"/>
        <v>0</v>
      </c>
      <c r="H85" s="256">
        <f t="shared" si="13"/>
        <v>0</v>
      </c>
    </row>
    <row r="86" spans="1:12" x14ac:dyDescent="0.2">
      <c r="A86" s="79">
        <f t="shared" si="5"/>
        <v>0</v>
      </c>
      <c r="B86" s="256">
        <f t="shared" si="6"/>
        <v>0</v>
      </c>
      <c r="C86" s="256">
        <f t="shared" si="13"/>
        <v>0</v>
      </c>
      <c r="D86" s="256">
        <f t="shared" si="13"/>
        <v>0</v>
      </c>
      <c r="E86" s="256">
        <f t="shared" si="13"/>
        <v>0</v>
      </c>
      <c r="F86" s="256">
        <f t="shared" si="13"/>
        <v>0</v>
      </c>
      <c r="G86" s="256">
        <f t="shared" si="13"/>
        <v>0</v>
      </c>
      <c r="H86" s="256">
        <f t="shared" si="13"/>
        <v>0</v>
      </c>
    </row>
    <row r="87" spans="1:12" x14ac:dyDescent="0.2">
      <c r="A87" s="79">
        <f t="shared" si="5"/>
        <v>0</v>
      </c>
      <c r="B87" s="256">
        <f t="shared" si="6"/>
        <v>0</v>
      </c>
      <c r="C87" s="256">
        <f t="shared" si="13"/>
        <v>0</v>
      </c>
      <c r="D87" s="256">
        <f t="shared" si="13"/>
        <v>0</v>
      </c>
      <c r="E87" s="256">
        <f t="shared" si="13"/>
        <v>0</v>
      </c>
      <c r="F87" s="256">
        <f t="shared" si="13"/>
        <v>0</v>
      </c>
      <c r="G87" s="256">
        <f t="shared" si="13"/>
        <v>0</v>
      </c>
      <c r="H87" s="256">
        <f t="shared" si="13"/>
        <v>0</v>
      </c>
    </row>
    <row r="88" spans="1:12" x14ac:dyDescent="0.2">
      <c r="A88" s="79">
        <f t="shared" si="5"/>
        <v>0</v>
      </c>
      <c r="B88" s="256">
        <f t="shared" si="6"/>
        <v>0</v>
      </c>
      <c r="C88" s="256">
        <f t="shared" si="13"/>
        <v>0</v>
      </c>
      <c r="D88" s="256">
        <f t="shared" si="13"/>
        <v>0</v>
      </c>
      <c r="E88" s="256">
        <f t="shared" si="13"/>
        <v>0</v>
      </c>
      <c r="F88" s="256">
        <f t="shared" si="13"/>
        <v>0</v>
      </c>
      <c r="G88" s="256">
        <f t="shared" si="13"/>
        <v>0</v>
      </c>
      <c r="H88" s="256">
        <f t="shared" si="13"/>
        <v>0</v>
      </c>
    </row>
    <row r="89" spans="1:12" x14ac:dyDescent="0.2">
      <c r="A89" s="79">
        <f t="shared" si="5"/>
        <v>0</v>
      </c>
      <c r="B89" s="256">
        <f t="shared" si="6"/>
        <v>0</v>
      </c>
      <c r="C89" s="256">
        <f t="shared" si="13"/>
        <v>0</v>
      </c>
      <c r="D89" s="256">
        <f t="shared" si="13"/>
        <v>0</v>
      </c>
      <c r="E89" s="256">
        <f t="shared" si="13"/>
        <v>0</v>
      </c>
      <c r="F89" s="256">
        <f t="shared" si="13"/>
        <v>0</v>
      </c>
      <c r="G89" s="256">
        <f t="shared" si="13"/>
        <v>0</v>
      </c>
      <c r="H89" s="256">
        <f t="shared" si="13"/>
        <v>0</v>
      </c>
    </row>
    <row r="90" spans="1:12" x14ac:dyDescent="0.2">
      <c r="A90" s="79"/>
      <c r="B90" s="256"/>
      <c r="C90" s="256"/>
      <c r="D90" s="256"/>
      <c r="E90" s="256"/>
      <c r="F90" s="256"/>
      <c r="G90" s="256"/>
      <c r="H90" s="256"/>
      <c r="J90" s="274"/>
      <c r="K90" s="274"/>
      <c r="L90" s="274"/>
    </row>
    <row r="91" spans="1:12" x14ac:dyDescent="0.2">
      <c r="A91" s="79" t="str">
        <f t="shared" ref="A91:A109" si="14">A34</f>
        <v>10 Grain Crop Production Details</v>
      </c>
      <c r="B91" s="256"/>
      <c r="C91" s="256"/>
      <c r="D91" s="256"/>
      <c r="E91" s="256"/>
      <c r="F91" s="256"/>
      <c r="G91" s="256"/>
      <c r="H91" s="256"/>
      <c r="J91" s="274"/>
      <c r="K91" s="274"/>
      <c r="L91" s="274"/>
    </row>
    <row r="92" spans="1:12" x14ac:dyDescent="0.2">
      <c r="A92" s="79" t="str">
        <f t="shared" si="14"/>
        <v xml:space="preserve">Flax Seed </v>
      </c>
      <c r="B92" s="256">
        <f t="shared" ref="B92:H101" si="15">B35</f>
        <v>81</v>
      </c>
      <c r="C92" s="256">
        <f t="shared" si="15"/>
        <v>90</v>
      </c>
      <c r="D92" s="256">
        <f t="shared" si="15"/>
        <v>99.000000000000014</v>
      </c>
      <c r="E92" s="256">
        <f t="shared" si="15"/>
        <v>108.00000000000003</v>
      </c>
      <c r="F92" s="256">
        <f t="shared" si="15"/>
        <v>117.00000000000003</v>
      </c>
      <c r="G92" s="256">
        <f t="shared" si="15"/>
        <v>126.00000000000003</v>
      </c>
      <c r="H92" s="256">
        <f t="shared" si="15"/>
        <v>135.00000000000006</v>
      </c>
      <c r="J92" s="274"/>
      <c r="K92" s="274"/>
      <c r="L92" s="274"/>
    </row>
    <row r="93" spans="1:12" x14ac:dyDescent="0.2">
      <c r="A93" s="79" t="e">
        <f t="shared" si="14"/>
        <v>#REF!</v>
      </c>
      <c r="B93" s="256" t="e">
        <f t="shared" si="15"/>
        <v>#REF!</v>
      </c>
      <c r="C93" s="256" t="e">
        <f t="shared" si="15"/>
        <v>#REF!</v>
      </c>
      <c r="D93" s="256" t="e">
        <f t="shared" si="15"/>
        <v>#REF!</v>
      </c>
      <c r="E93" s="256" t="e">
        <f t="shared" si="15"/>
        <v>#REF!</v>
      </c>
      <c r="F93" s="256" t="e">
        <f t="shared" si="15"/>
        <v>#REF!</v>
      </c>
      <c r="G93" s="256" t="e">
        <f t="shared" si="15"/>
        <v>#REF!</v>
      </c>
      <c r="H93" s="256" t="e">
        <f t="shared" si="15"/>
        <v>#REF!</v>
      </c>
      <c r="J93" s="274"/>
      <c r="K93" s="274"/>
      <c r="L93" s="274"/>
    </row>
    <row r="94" spans="1:12" x14ac:dyDescent="0.2">
      <c r="A94" s="79" t="e">
        <f t="shared" si="14"/>
        <v>#REF!</v>
      </c>
      <c r="B94" s="256" t="e">
        <f t="shared" si="15"/>
        <v>#REF!</v>
      </c>
      <c r="C94" s="256" t="e">
        <f t="shared" si="15"/>
        <v>#REF!</v>
      </c>
      <c r="D94" s="256" t="e">
        <f t="shared" si="15"/>
        <v>#REF!</v>
      </c>
      <c r="E94" s="256" t="e">
        <f t="shared" si="15"/>
        <v>#REF!</v>
      </c>
      <c r="F94" s="256" t="e">
        <f t="shared" si="15"/>
        <v>#REF!</v>
      </c>
      <c r="G94" s="256" t="e">
        <f t="shared" si="15"/>
        <v>#REF!</v>
      </c>
      <c r="H94" s="256" t="e">
        <f t="shared" si="15"/>
        <v>#REF!</v>
      </c>
      <c r="J94" s="274"/>
      <c r="K94" s="274"/>
      <c r="L94" s="274"/>
    </row>
    <row r="95" spans="1:12" x14ac:dyDescent="0.2">
      <c r="A95" s="79" t="str">
        <f t="shared" si="14"/>
        <v>Safflower</v>
      </c>
      <c r="B95" s="256">
        <f t="shared" si="15"/>
        <v>40.5</v>
      </c>
      <c r="C95" s="256">
        <f t="shared" si="15"/>
        <v>45</v>
      </c>
      <c r="D95" s="256">
        <f t="shared" si="15"/>
        <v>49.500000000000007</v>
      </c>
      <c r="E95" s="256">
        <f t="shared" si="15"/>
        <v>54.000000000000014</v>
      </c>
      <c r="F95" s="256">
        <f t="shared" si="15"/>
        <v>58.500000000000014</v>
      </c>
      <c r="G95" s="256">
        <f t="shared" si="15"/>
        <v>63.000000000000014</v>
      </c>
      <c r="H95" s="256">
        <f t="shared" si="15"/>
        <v>67.500000000000028</v>
      </c>
      <c r="J95" s="274"/>
      <c r="K95" s="274"/>
      <c r="L95" s="274"/>
    </row>
    <row r="96" spans="1:12" x14ac:dyDescent="0.2">
      <c r="A96" s="79" t="e">
        <f t="shared" si="14"/>
        <v>#REF!</v>
      </c>
      <c r="B96" s="256" t="e">
        <f t="shared" si="15"/>
        <v>#REF!</v>
      </c>
      <c r="C96" s="256" t="e">
        <f t="shared" si="15"/>
        <v>#REF!</v>
      </c>
      <c r="D96" s="256" t="e">
        <f t="shared" si="15"/>
        <v>#REF!</v>
      </c>
      <c r="E96" s="256" t="e">
        <f t="shared" si="15"/>
        <v>#REF!</v>
      </c>
      <c r="F96" s="256" t="e">
        <f t="shared" si="15"/>
        <v>#REF!</v>
      </c>
      <c r="G96" s="256" t="e">
        <f t="shared" si="15"/>
        <v>#REF!</v>
      </c>
      <c r="H96" s="256" t="e">
        <f t="shared" si="15"/>
        <v>#REF!</v>
      </c>
      <c r="J96" s="274"/>
      <c r="K96" s="274"/>
      <c r="L96" s="274"/>
    </row>
    <row r="97" spans="1:12" x14ac:dyDescent="0.2">
      <c r="A97" s="79" t="e">
        <f t="shared" si="14"/>
        <v>#REF!</v>
      </c>
      <c r="B97" s="256" t="e">
        <f t="shared" si="15"/>
        <v>#REF!</v>
      </c>
      <c r="C97" s="256" t="e">
        <f t="shared" si="15"/>
        <v>#REF!</v>
      </c>
      <c r="D97" s="256" t="e">
        <f t="shared" si="15"/>
        <v>#REF!</v>
      </c>
      <c r="E97" s="256" t="e">
        <f t="shared" si="15"/>
        <v>#REF!</v>
      </c>
      <c r="F97" s="256" t="e">
        <f t="shared" si="15"/>
        <v>#REF!</v>
      </c>
      <c r="G97" s="256" t="e">
        <f t="shared" si="15"/>
        <v>#REF!</v>
      </c>
      <c r="H97" s="256" t="e">
        <f t="shared" si="15"/>
        <v>#REF!</v>
      </c>
      <c r="J97" s="274"/>
      <c r="K97" s="274"/>
      <c r="L97" s="274"/>
    </row>
    <row r="98" spans="1:12" x14ac:dyDescent="0.2">
      <c r="A98" s="79" t="e">
        <f t="shared" si="14"/>
        <v>#REF!</v>
      </c>
      <c r="B98" s="256" t="e">
        <f t="shared" si="15"/>
        <v>#REF!</v>
      </c>
      <c r="C98" s="256" t="e">
        <f t="shared" si="15"/>
        <v>#REF!</v>
      </c>
      <c r="D98" s="256" t="e">
        <f t="shared" si="15"/>
        <v>#REF!</v>
      </c>
      <c r="E98" s="256" t="e">
        <f t="shared" si="15"/>
        <v>#REF!</v>
      </c>
      <c r="F98" s="256" t="e">
        <f t="shared" si="15"/>
        <v>#REF!</v>
      </c>
      <c r="G98" s="256" t="e">
        <f t="shared" si="15"/>
        <v>#REF!</v>
      </c>
      <c r="H98" s="256" t="e">
        <f t="shared" si="15"/>
        <v>#REF!</v>
      </c>
      <c r="J98" s="274"/>
      <c r="K98" s="274"/>
      <c r="L98" s="274"/>
    </row>
    <row r="99" spans="1:12" x14ac:dyDescent="0.2">
      <c r="A99" s="79" t="e">
        <f t="shared" si="14"/>
        <v>#REF!</v>
      </c>
      <c r="B99" s="256" t="e">
        <f t="shared" si="15"/>
        <v>#REF!</v>
      </c>
      <c r="C99" s="256" t="e">
        <f t="shared" si="15"/>
        <v>#REF!</v>
      </c>
      <c r="D99" s="256" t="e">
        <f t="shared" si="15"/>
        <v>#REF!</v>
      </c>
      <c r="E99" s="256" t="e">
        <f t="shared" si="15"/>
        <v>#REF!</v>
      </c>
      <c r="F99" s="256" t="e">
        <f t="shared" si="15"/>
        <v>#REF!</v>
      </c>
      <c r="G99" s="256" t="e">
        <f t="shared" si="15"/>
        <v>#REF!</v>
      </c>
      <c r="H99" s="256" t="e">
        <f t="shared" si="15"/>
        <v>#REF!</v>
      </c>
      <c r="J99" s="274"/>
      <c r="K99" s="274"/>
      <c r="L99" s="274"/>
    </row>
    <row r="100" spans="1:12" x14ac:dyDescent="0.2">
      <c r="A100" s="79" t="e">
        <f t="shared" si="14"/>
        <v>#REF!</v>
      </c>
      <c r="B100" s="256" t="e">
        <f t="shared" si="15"/>
        <v>#REF!</v>
      </c>
      <c r="C100" s="256" t="e">
        <f t="shared" si="15"/>
        <v>#REF!</v>
      </c>
      <c r="D100" s="256" t="e">
        <f t="shared" si="15"/>
        <v>#REF!</v>
      </c>
      <c r="E100" s="256" t="e">
        <f t="shared" si="15"/>
        <v>#REF!</v>
      </c>
      <c r="F100" s="256" t="e">
        <f t="shared" si="15"/>
        <v>#REF!</v>
      </c>
      <c r="G100" s="256" t="e">
        <f t="shared" si="15"/>
        <v>#REF!</v>
      </c>
      <c r="H100" s="256" t="e">
        <f t="shared" si="15"/>
        <v>#REF!</v>
      </c>
      <c r="J100" s="274"/>
      <c r="K100" s="274"/>
      <c r="L100" s="274"/>
    </row>
    <row r="101" spans="1:12" x14ac:dyDescent="0.2">
      <c r="A101" s="79" t="e">
        <f t="shared" si="14"/>
        <v>#REF!</v>
      </c>
      <c r="B101" s="256" t="e">
        <f t="shared" si="15"/>
        <v>#REF!</v>
      </c>
      <c r="C101" s="256" t="e">
        <f t="shared" si="15"/>
        <v>#REF!</v>
      </c>
      <c r="D101" s="256" t="e">
        <f t="shared" si="15"/>
        <v>#REF!</v>
      </c>
      <c r="E101" s="256" t="e">
        <f t="shared" si="15"/>
        <v>#REF!</v>
      </c>
      <c r="F101" s="256" t="e">
        <f t="shared" si="15"/>
        <v>#REF!</v>
      </c>
      <c r="G101" s="256" t="e">
        <f t="shared" si="15"/>
        <v>#REF!</v>
      </c>
      <c r="H101" s="256" t="e">
        <f t="shared" si="15"/>
        <v>#REF!</v>
      </c>
      <c r="J101" s="274"/>
      <c r="K101" s="274"/>
      <c r="L101" s="274"/>
    </row>
    <row r="102" spans="1:12" x14ac:dyDescent="0.2">
      <c r="A102" s="79" t="e">
        <f t="shared" si="14"/>
        <v>#REF!</v>
      </c>
      <c r="B102" s="256" t="e">
        <f t="shared" ref="B102:H109" si="16">B45</f>
        <v>#REF!</v>
      </c>
      <c r="C102" s="256" t="e">
        <f t="shared" si="16"/>
        <v>#REF!</v>
      </c>
      <c r="D102" s="256" t="e">
        <f t="shared" si="16"/>
        <v>#REF!</v>
      </c>
      <c r="E102" s="256" t="e">
        <f t="shared" si="16"/>
        <v>#REF!</v>
      </c>
      <c r="F102" s="256" t="e">
        <f t="shared" si="16"/>
        <v>#REF!</v>
      </c>
      <c r="G102" s="256" t="e">
        <f t="shared" si="16"/>
        <v>#REF!</v>
      </c>
      <c r="H102" s="256" t="e">
        <f t="shared" si="16"/>
        <v>#REF!</v>
      </c>
      <c r="J102" s="274"/>
      <c r="K102" s="274"/>
      <c r="L102" s="274"/>
    </row>
    <row r="103" spans="1:12" x14ac:dyDescent="0.2">
      <c r="A103" s="79" t="e">
        <f t="shared" si="14"/>
        <v>#REF!</v>
      </c>
      <c r="B103" s="256" t="e">
        <f t="shared" si="16"/>
        <v>#REF!</v>
      </c>
      <c r="C103" s="256" t="e">
        <f t="shared" si="16"/>
        <v>#REF!</v>
      </c>
      <c r="D103" s="256" t="e">
        <f t="shared" si="16"/>
        <v>#REF!</v>
      </c>
      <c r="E103" s="256" t="e">
        <f t="shared" si="16"/>
        <v>#REF!</v>
      </c>
      <c r="F103" s="256" t="e">
        <f t="shared" si="16"/>
        <v>#REF!</v>
      </c>
      <c r="G103" s="256" t="e">
        <f t="shared" si="16"/>
        <v>#REF!</v>
      </c>
      <c r="H103" s="256" t="e">
        <f t="shared" si="16"/>
        <v>#REF!</v>
      </c>
      <c r="J103" s="274"/>
      <c r="K103" s="274"/>
      <c r="L103" s="274"/>
    </row>
    <row r="104" spans="1:12" x14ac:dyDescent="0.2">
      <c r="A104" s="79" t="e">
        <f t="shared" si="14"/>
        <v>#REF!</v>
      </c>
      <c r="B104" s="256" t="e">
        <f t="shared" si="16"/>
        <v>#REF!</v>
      </c>
      <c r="C104" s="256" t="e">
        <f t="shared" si="16"/>
        <v>#REF!</v>
      </c>
      <c r="D104" s="256" t="e">
        <f t="shared" si="16"/>
        <v>#REF!</v>
      </c>
      <c r="E104" s="256" t="e">
        <f t="shared" si="16"/>
        <v>#REF!</v>
      </c>
      <c r="F104" s="256" t="e">
        <f t="shared" si="16"/>
        <v>#REF!</v>
      </c>
      <c r="G104" s="256" t="e">
        <f t="shared" si="16"/>
        <v>#REF!</v>
      </c>
      <c r="H104" s="256" t="e">
        <f t="shared" si="16"/>
        <v>#REF!</v>
      </c>
      <c r="J104" s="274"/>
      <c r="K104" s="274"/>
      <c r="L104" s="274"/>
    </row>
    <row r="105" spans="1:12" x14ac:dyDescent="0.2">
      <c r="A105" s="79" t="e">
        <f t="shared" si="14"/>
        <v>#REF!</v>
      </c>
      <c r="B105" s="256" t="e">
        <f t="shared" si="16"/>
        <v>#REF!</v>
      </c>
      <c r="C105" s="256" t="e">
        <f t="shared" si="16"/>
        <v>#REF!</v>
      </c>
      <c r="D105" s="256" t="e">
        <f t="shared" si="16"/>
        <v>#REF!</v>
      </c>
      <c r="E105" s="256" t="e">
        <f t="shared" si="16"/>
        <v>#REF!</v>
      </c>
      <c r="F105" s="256" t="e">
        <f t="shared" si="16"/>
        <v>#REF!</v>
      </c>
      <c r="G105" s="256" t="e">
        <f t="shared" si="16"/>
        <v>#REF!</v>
      </c>
      <c r="H105" s="256" t="e">
        <f t="shared" si="16"/>
        <v>#REF!</v>
      </c>
      <c r="J105" s="274"/>
      <c r="K105" s="274"/>
      <c r="L105" s="274"/>
    </row>
    <row r="106" spans="1:12" x14ac:dyDescent="0.2">
      <c r="A106" s="79" t="e">
        <f t="shared" si="14"/>
        <v>#REF!</v>
      </c>
      <c r="B106" s="256" t="e">
        <f t="shared" si="16"/>
        <v>#REF!</v>
      </c>
      <c r="C106" s="256" t="e">
        <f t="shared" si="16"/>
        <v>#REF!</v>
      </c>
      <c r="D106" s="256" t="e">
        <f t="shared" si="16"/>
        <v>#REF!</v>
      </c>
      <c r="E106" s="256" t="e">
        <f t="shared" si="16"/>
        <v>#REF!</v>
      </c>
      <c r="F106" s="256" t="e">
        <f t="shared" si="16"/>
        <v>#REF!</v>
      </c>
      <c r="G106" s="256" t="e">
        <f t="shared" si="16"/>
        <v>#REF!</v>
      </c>
      <c r="H106" s="256" t="e">
        <f t="shared" si="16"/>
        <v>#REF!</v>
      </c>
      <c r="J106" s="274"/>
      <c r="K106" s="274"/>
      <c r="L106" s="274"/>
    </row>
    <row r="107" spans="1:12" x14ac:dyDescent="0.2">
      <c r="A107" s="79" t="e">
        <f t="shared" si="14"/>
        <v>#REF!</v>
      </c>
      <c r="B107" s="256" t="e">
        <f t="shared" si="16"/>
        <v>#REF!</v>
      </c>
      <c r="C107" s="256" t="e">
        <f t="shared" si="16"/>
        <v>#REF!</v>
      </c>
      <c r="D107" s="256" t="e">
        <f t="shared" si="16"/>
        <v>#REF!</v>
      </c>
      <c r="E107" s="256" t="e">
        <f t="shared" si="16"/>
        <v>#REF!</v>
      </c>
      <c r="F107" s="256" t="e">
        <f t="shared" si="16"/>
        <v>#REF!</v>
      </c>
      <c r="G107" s="256" t="e">
        <f t="shared" si="16"/>
        <v>#REF!</v>
      </c>
      <c r="H107" s="256" t="e">
        <f t="shared" si="16"/>
        <v>#REF!</v>
      </c>
      <c r="J107" s="274"/>
      <c r="K107" s="274"/>
      <c r="L107" s="274"/>
    </row>
    <row r="108" spans="1:12" x14ac:dyDescent="0.2">
      <c r="A108" s="79" t="e">
        <f t="shared" si="14"/>
        <v>#REF!</v>
      </c>
      <c r="B108" s="256" t="e">
        <f t="shared" si="16"/>
        <v>#REF!</v>
      </c>
      <c r="C108" s="256" t="e">
        <f t="shared" si="16"/>
        <v>#REF!</v>
      </c>
      <c r="D108" s="256" t="e">
        <f t="shared" si="16"/>
        <v>#REF!</v>
      </c>
      <c r="E108" s="256" t="e">
        <f t="shared" si="16"/>
        <v>#REF!</v>
      </c>
      <c r="F108" s="256" t="e">
        <f t="shared" si="16"/>
        <v>#REF!</v>
      </c>
      <c r="G108" s="256" t="e">
        <f t="shared" si="16"/>
        <v>#REF!</v>
      </c>
      <c r="H108" s="256" t="e">
        <f t="shared" si="16"/>
        <v>#REF!</v>
      </c>
      <c r="J108" s="274"/>
      <c r="K108" s="274"/>
      <c r="L108" s="274"/>
    </row>
    <row r="109" spans="1:12" x14ac:dyDescent="0.2">
      <c r="A109" s="79" t="e">
        <f t="shared" si="14"/>
        <v>#REF!</v>
      </c>
      <c r="B109" s="256" t="e">
        <f t="shared" si="16"/>
        <v>#REF!</v>
      </c>
      <c r="C109" s="256" t="e">
        <f t="shared" si="16"/>
        <v>#REF!</v>
      </c>
      <c r="D109" s="256" t="e">
        <f t="shared" si="16"/>
        <v>#REF!</v>
      </c>
      <c r="E109" s="256" t="e">
        <f t="shared" si="16"/>
        <v>#REF!</v>
      </c>
      <c r="F109" s="256" t="e">
        <f t="shared" si="16"/>
        <v>#REF!</v>
      </c>
      <c r="G109" s="256" t="e">
        <f t="shared" si="16"/>
        <v>#REF!</v>
      </c>
      <c r="H109" s="256" t="e">
        <f t="shared" si="16"/>
        <v>#REF!</v>
      </c>
      <c r="J109" s="274"/>
      <c r="K109" s="274"/>
      <c r="L109" s="274"/>
    </row>
    <row r="110" spans="1:12" x14ac:dyDescent="0.2">
      <c r="A110" s="79" t="e">
        <f t="shared" ref="A110:A113" si="17">A53</f>
        <v>#REF!</v>
      </c>
      <c r="B110" s="256"/>
      <c r="C110" s="256"/>
      <c r="D110" s="256"/>
      <c r="E110" s="256"/>
      <c r="F110" s="256"/>
      <c r="G110" s="256"/>
      <c r="H110" s="256"/>
      <c r="J110" s="274"/>
      <c r="K110" s="274"/>
      <c r="L110" s="274"/>
    </row>
    <row r="111" spans="1:12" x14ac:dyDescent="0.2">
      <c r="A111" s="79" t="e">
        <f t="shared" si="17"/>
        <v>#REF!</v>
      </c>
      <c r="B111" s="256"/>
      <c r="C111" s="256"/>
      <c r="D111" s="256"/>
      <c r="E111" s="256"/>
      <c r="F111" s="256"/>
      <c r="G111" s="256"/>
      <c r="H111" s="256"/>
      <c r="J111" s="274"/>
      <c r="K111" s="274"/>
      <c r="L111" s="274"/>
    </row>
    <row r="112" spans="1:12" x14ac:dyDescent="0.2">
      <c r="A112" s="79" t="e">
        <f t="shared" si="17"/>
        <v>#REF!</v>
      </c>
      <c r="B112" s="256"/>
      <c r="C112" s="256"/>
      <c r="D112" s="256"/>
      <c r="E112" s="256"/>
      <c r="F112" s="256"/>
      <c r="G112" s="256"/>
      <c r="H112" s="256"/>
      <c r="J112" s="274"/>
      <c r="K112" s="274"/>
      <c r="L112" s="274"/>
    </row>
    <row r="113" spans="1:12" x14ac:dyDescent="0.2">
      <c r="A113" s="79" t="e">
        <f t="shared" si="17"/>
        <v>#REF!</v>
      </c>
      <c r="B113" s="256" t="e">
        <f t="shared" ref="B113:H116" si="18">B56</f>
        <v>#REF!</v>
      </c>
      <c r="C113" s="256" t="e">
        <f t="shared" si="18"/>
        <v>#REF!</v>
      </c>
      <c r="D113" s="256" t="e">
        <f t="shared" si="18"/>
        <v>#REF!</v>
      </c>
      <c r="E113" s="256" t="e">
        <f t="shared" si="18"/>
        <v>#REF!</v>
      </c>
      <c r="F113" s="256" t="e">
        <f t="shared" si="18"/>
        <v>#REF!</v>
      </c>
      <c r="G113" s="256" t="e">
        <f t="shared" si="18"/>
        <v>#REF!</v>
      </c>
      <c r="H113" s="256" t="e">
        <f t="shared" si="18"/>
        <v>#REF!</v>
      </c>
      <c r="J113" s="274"/>
      <c r="K113" s="274"/>
      <c r="L113" s="274"/>
    </row>
    <row r="114" spans="1:12" x14ac:dyDescent="0.2">
      <c r="A114" s="79" t="e">
        <f>A57</f>
        <v>#REF!</v>
      </c>
      <c r="B114" s="256" t="e">
        <f t="shared" si="18"/>
        <v>#REF!</v>
      </c>
      <c r="C114" s="256" t="e">
        <f t="shared" si="18"/>
        <v>#REF!</v>
      </c>
      <c r="D114" s="256" t="e">
        <f t="shared" si="18"/>
        <v>#REF!</v>
      </c>
      <c r="E114" s="256" t="e">
        <f t="shared" si="18"/>
        <v>#REF!</v>
      </c>
      <c r="F114" s="256" t="e">
        <f t="shared" si="18"/>
        <v>#REF!</v>
      </c>
      <c r="G114" s="256" t="e">
        <f t="shared" si="18"/>
        <v>#REF!</v>
      </c>
      <c r="H114" s="256" t="e">
        <f t="shared" si="18"/>
        <v>#REF!</v>
      </c>
      <c r="J114" s="274"/>
      <c r="K114" s="274"/>
      <c r="L114" s="274"/>
    </row>
    <row r="115" spans="1:12" x14ac:dyDescent="0.2">
      <c r="A115" s="79" t="e">
        <f>A58</f>
        <v>#REF!</v>
      </c>
      <c r="B115" s="256" t="e">
        <f t="shared" si="18"/>
        <v>#REF!</v>
      </c>
      <c r="C115" s="256" t="e">
        <f t="shared" si="18"/>
        <v>#REF!</v>
      </c>
      <c r="D115" s="256" t="e">
        <f t="shared" si="18"/>
        <v>#REF!</v>
      </c>
      <c r="E115" s="256" t="e">
        <f t="shared" si="18"/>
        <v>#REF!</v>
      </c>
      <c r="F115" s="256" t="e">
        <f t="shared" si="18"/>
        <v>#REF!</v>
      </c>
      <c r="G115" s="256" t="e">
        <f t="shared" si="18"/>
        <v>#REF!</v>
      </c>
      <c r="H115" s="256" t="e">
        <f t="shared" si="18"/>
        <v>#REF!</v>
      </c>
      <c r="J115" s="274"/>
      <c r="K115" s="274"/>
      <c r="L115" s="274"/>
    </row>
    <row r="116" spans="1:12" x14ac:dyDescent="0.2">
      <c r="A116" s="79" t="e">
        <f>A59</f>
        <v>#REF!</v>
      </c>
      <c r="B116" s="256" t="e">
        <f t="shared" si="18"/>
        <v>#REF!</v>
      </c>
      <c r="C116" s="256" t="e">
        <f t="shared" si="18"/>
        <v>#REF!</v>
      </c>
      <c r="D116" s="256" t="e">
        <f t="shared" si="18"/>
        <v>#REF!</v>
      </c>
      <c r="E116" s="256" t="e">
        <f t="shared" si="18"/>
        <v>#REF!</v>
      </c>
      <c r="F116" s="256" t="e">
        <f t="shared" si="18"/>
        <v>#REF!</v>
      </c>
      <c r="G116" s="256" t="e">
        <f t="shared" si="18"/>
        <v>#REF!</v>
      </c>
      <c r="H116" s="256" t="e">
        <f t="shared" si="18"/>
        <v>#REF!</v>
      </c>
      <c r="J116" s="274"/>
      <c r="K116" s="274"/>
      <c r="L116" s="274"/>
    </row>
    <row r="117" spans="1:12" x14ac:dyDescent="0.2">
      <c r="A117" s="79"/>
      <c r="B117" s="256"/>
      <c r="C117" s="256"/>
      <c r="D117" s="256"/>
      <c r="E117" s="256"/>
      <c r="F117" s="256"/>
      <c r="G117" s="256"/>
      <c r="H117" s="256"/>
      <c r="J117" s="274"/>
      <c r="K117" s="274"/>
      <c r="L117" s="274"/>
    </row>
    <row r="118" spans="1:12" x14ac:dyDescent="0.2">
      <c r="A118" s="79"/>
      <c r="B118" s="256"/>
      <c r="C118" s="256"/>
      <c r="D118" s="256"/>
      <c r="E118" s="256"/>
      <c r="F118" s="256"/>
      <c r="G118" s="256"/>
      <c r="H118" s="256"/>
      <c r="J118" s="274"/>
      <c r="K118" s="274"/>
      <c r="L118" s="274"/>
    </row>
    <row r="119" spans="1:12" x14ac:dyDescent="0.2">
      <c r="A119" s="85" t="s">
        <v>135</v>
      </c>
      <c r="B119" s="79"/>
      <c r="C119" s="79"/>
      <c r="D119" s="79"/>
      <c r="E119" s="79"/>
      <c r="F119" s="79"/>
      <c r="G119" s="79"/>
      <c r="H119" s="79"/>
    </row>
    <row r="120" spans="1:12" x14ac:dyDescent="0.2">
      <c r="A120" s="83">
        <f t="shared" ref="A120:A141" si="19">A68</f>
        <v>0</v>
      </c>
      <c r="B120" s="257">
        <f t="shared" ref="B120:H129" si="20">B68-(B68*$G$6)</f>
        <v>0</v>
      </c>
      <c r="C120" s="257">
        <f t="shared" si="20"/>
        <v>0</v>
      </c>
      <c r="D120" s="257">
        <f t="shared" si="20"/>
        <v>0</v>
      </c>
      <c r="E120" s="257">
        <f t="shared" si="20"/>
        <v>0</v>
      </c>
      <c r="F120" s="257">
        <f t="shared" si="20"/>
        <v>0</v>
      </c>
      <c r="G120" s="257">
        <f t="shared" si="20"/>
        <v>0</v>
      </c>
      <c r="H120" s="257">
        <f t="shared" si="20"/>
        <v>0</v>
      </c>
    </row>
    <row r="121" spans="1:12" x14ac:dyDescent="0.2">
      <c r="A121" s="83" t="str">
        <f t="shared" si="19"/>
        <v>11.3 Quantity of Marketable Surplus Produce Considered for Trading Business</v>
      </c>
      <c r="B121" s="257">
        <f t="shared" si="20"/>
        <v>0</v>
      </c>
      <c r="C121" s="257">
        <f t="shared" si="20"/>
        <v>0</v>
      </c>
      <c r="D121" s="257">
        <f t="shared" si="20"/>
        <v>0</v>
      </c>
      <c r="E121" s="257">
        <f t="shared" si="20"/>
        <v>0</v>
      </c>
      <c r="F121" s="257">
        <f t="shared" si="20"/>
        <v>0</v>
      </c>
      <c r="G121" s="257">
        <f t="shared" si="20"/>
        <v>0</v>
      </c>
      <c r="H121" s="257">
        <f t="shared" si="20"/>
        <v>0</v>
      </c>
    </row>
    <row r="122" spans="1:12" x14ac:dyDescent="0.2">
      <c r="A122" s="83" t="str">
        <f t="shared" si="19"/>
        <v>Particulars</v>
      </c>
      <c r="B122" s="257">
        <f t="shared" si="20"/>
        <v>0.16974999999999998</v>
      </c>
      <c r="C122" s="257">
        <f t="shared" si="20"/>
        <v>0.19399999999999998</v>
      </c>
      <c r="D122" s="257">
        <f t="shared" si="20"/>
        <v>0.21824999999999997</v>
      </c>
      <c r="E122" s="257">
        <f t="shared" si="20"/>
        <v>0.24249999999999997</v>
      </c>
      <c r="F122" s="257">
        <f t="shared" si="20"/>
        <v>0.26674999999999999</v>
      </c>
      <c r="G122" s="257">
        <f t="shared" si="20"/>
        <v>0.29099999999999998</v>
      </c>
      <c r="H122" s="257">
        <f t="shared" si="20"/>
        <v>0.31525000000000003</v>
      </c>
    </row>
    <row r="123" spans="1:12" x14ac:dyDescent="0.2">
      <c r="A123" s="83">
        <f t="shared" si="19"/>
        <v>0</v>
      </c>
      <c r="B123" s="257" t="e">
        <f t="shared" si="20"/>
        <v>#VALUE!</v>
      </c>
      <c r="C123" s="257" t="e">
        <f t="shared" si="20"/>
        <v>#VALUE!</v>
      </c>
      <c r="D123" s="257" t="e">
        <f t="shared" si="20"/>
        <v>#VALUE!</v>
      </c>
      <c r="E123" s="257" t="e">
        <f t="shared" si="20"/>
        <v>#VALUE!</v>
      </c>
      <c r="F123" s="257" t="e">
        <f t="shared" si="20"/>
        <v>#VALUE!</v>
      </c>
      <c r="G123" s="257" t="e">
        <f t="shared" si="20"/>
        <v>#VALUE!</v>
      </c>
      <c r="H123" s="257" t="e">
        <f t="shared" si="20"/>
        <v>#VALUE!</v>
      </c>
    </row>
    <row r="124" spans="1:12" x14ac:dyDescent="0.2">
      <c r="A124" s="83" t="str">
        <f t="shared" si="19"/>
        <v>Onion</v>
      </c>
      <c r="B124" s="257">
        <f t="shared" si="20"/>
        <v>0</v>
      </c>
      <c r="C124" s="257">
        <f t="shared" si="20"/>
        <v>0</v>
      </c>
      <c r="D124" s="257">
        <f t="shared" si="20"/>
        <v>0</v>
      </c>
      <c r="E124" s="257">
        <f t="shared" si="20"/>
        <v>0</v>
      </c>
      <c r="F124" s="257">
        <f t="shared" si="20"/>
        <v>0</v>
      </c>
      <c r="G124" s="257">
        <f t="shared" si="20"/>
        <v>0</v>
      </c>
      <c r="H124" s="257">
        <f t="shared" si="20"/>
        <v>0</v>
      </c>
    </row>
    <row r="125" spans="1:12" x14ac:dyDescent="0.2">
      <c r="A125" s="83" t="str">
        <f t="shared" si="19"/>
        <v>Tomato</v>
      </c>
      <c r="B125" s="257">
        <f t="shared" si="20"/>
        <v>0</v>
      </c>
      <c r="C125" s="257">
        <f t="shared" si="20"/>
        <v>0</v>
      </c>
      <c r="D125" s="257">
        <f t="shared" si="20"/>
        <v>0</v>
      </c>
      <c r="E125" s="257">
        <f t="shared" si="20"/>
        <v>0</v>
      </c>
      <c r="F125" s="257">
        <f t="shared" si="20"/>
        <v>0</v>
      </c>
      <c r="G125" s="257">
        <f t="shared" si="20"/>
        <v>0</v>
      </c>
      <c r="H125" s="257">
        <f t="shared" si="20"/>
        <v>0</v>
      </c>
    </row>
    <row r="126" spans="1:12" x14ac:dyDescent="0.2">
      <c r="A126" s="83" t="str">
        <f t="shared" si="19"/>
        <v>Okra</v>
      </c>
      <c r="B126" s="257">
        <f t="shared" si="20"/>
        <v>0</v>
      </c>
      <c r="C126" s="257">
        <f t="shared" si="20"/>
        <v>0</v>
      </c>
      <c r="D126" s="257">
        <f t="shared" si="20"/>
        <v>0</v>
      </c>
      <c r="E126" s="257">
        <f t="shared" si="20"/>
        <v>0</v>
      </c>
      <c r="F126" s="257">
        <f t="shared" si="20"/>
        <v>0</v>
      </c>
      <c r="G126" s="257">
        <f t="shared" si="20"/>
        <v>0</v>
      </c>
      <c r="H126" s="257">
        <f t="shared" si="20"/>
        <v>0</v>
      </c>
    </row>
    <row r="127" spans="1:12" x14ac:dyDescent="0.2">
      <c r="A127" s="83" t="str">
        <f t="shared" si="19"/>
        <v>Chilli</v>
      </c>
      <c r="B127" s="257">
        <f t="shared" si="20"/>
        <v>0</v>
      </c>
      <c r="C127" s="257">
        <f t="shared" si="20"/>
        <v>0</v>
      </c>
      <c r="D127" s="257">
        <f t="shared" si="20"/>
        <v>0</v>
      </c>
      <c r="E127" s="257">
        <f t="shared" si="20"/>
        <v>0</v>
      </c>
      <c r="F127" s="257">
        <f t="shared" si="20"/>
        <v>0</v>
      </c>
      <c r="G127" s="257">
        <f t="shared" si="20"/>
        <v>0</v>
      </c>
      <c r="H127" s="257">
        <f t="shared" si="20"/>
        <v>0</v>
      </c>
    </row>
    <row r="128" spans="1:12" x14ac:dyDescent="0.2">
      <c r="A128" s="83" t="str">
        <f t="shared" si="19"/>
        <v>Potato</v>
      </c>
      <c r="B128" s="257">
        <f t="shared" si="20"/>
        <v>0</v>
      </c>
      <c r="C128" s="257">
        <f t="shared" si="20"/>
        <v>0</v>
      </c>
      <c r="D128" s="257">
        <f t="shared" si="20"/>
        <v>0</v>
      </c>
      <c r="E128" s="257">
        <f t="shared" si="20"/>
        <v>0</v>
      </c>
      <c r="F128" s="257">
        <f t="shared" si="20"/>
        <v>0</v>
      </c>
      <c r="G128" s="257">
        <f t="shared" si="20"/>
        <v>0</v>
      </c>
      <c r="H128" s="257">
        <f t="shared" si="20"/>
        <v>0</v>
      </c>
    </row>
    <row r="129" spans="1:8" x14ac:dyDescent="0.2">
      <c r="A129" s="83">
        <f t="shared" si="19"/>
        <v>0</v>
      </c>
      <c r="B129" s="257">
        <f t="shared" si="20"/>
        <v>0</v>
      </c>
      <c r="C129" s="257">
        <f t="shared" si="20"/>
        <v>0</v>
      </c>
      <c r="D129" s="257">
        <f t="shared" si="20"/>
        <v>0</v>
      </c>
      <c r="E129" s="257">
        <f t="shared" si="20"/>
        <v>0</v>
      </c>
      <c r="F129" s="257">
        <f t="shared" si="20"/>
        <v>0</v>
      </c>
      <c r="G129" s="257">
        <f t="shared" si="20"/>
        <v>0</v>
      </c>
      <c r="H129" s="257">
        <f t="shared" si="20"/>
        <v>0</v>
      </c>
    </row>
    <row r="130" spans="1:8" x14ac:dyDescent="0.2">
      <c r="A130" s="83">
        <f t="shared" si="19"/>
        <v>0</v>
      </c>
      <c r="B130" s="257">
        <f t="shared" ref="B130:H139" si="21">B78-(B78*$G$6)</f>
        <v>0</v>
      </c>
      <c r="C130" s="257">
        <f t="shared" si="21"/>
        <v>0</v>
      </c>
      <c r="D130" s="257">
        <f t="shared" si="21"/>
        <v>0</v>
      </c>
      <c r="E130" s="257">
        <f t="shared" si="21"/>
        <v>0</v>
      </c>
      <c r="F130" s="257">
        <f t="shared" si="21"/>
        <v>0</v>
      </c>
      <c r="G130" s="257">
        <f t="shared" si="21"/>
        <v>0</v>
      </c>
      <c r="H130" s="257">
        <f t="shared" si="21"/>
        <v>0</v>
      </c>
    </row>
    <row r="131" spans="1:8" x14ac:dyDescent="0.2">
      <c r="A131" s="83">
        <f t="shared" si="19"/>
        <v>0</v>
      </c>
      <c r="B131" s="257">
        <f t="shared" si="21"/>
        <v>0</v>
      </c>
      <c r="C131" s="257">
        <f t="shared" si="21"/>
        <v>0</v>
      </c>
      <c r="D131" s="257">
        <f t="shared" si="21"/>
        <v>0</v>
      </c>
      <c r="E131" s="257">
        <f t="shared" si="21"/>
        <v>0</v>
      </c>
      <c r="F131" s="257">
        <f t="shared" si="21"/>
        <v>0</v>
      </c>
      <c r="G131" s="257">
        <f t="shared" si="21"/>
        <v>0</v>
      </c>
      <c r="H131" s="257">
        <f t="shared" si="21"/>
        <v>0</v>
      </c>
    </row>
    <row r="132" spans="1:8" x14ac:dyDescent="0.2">
      <c r="A132" s="83">
        <f t="shared" si="19"/>
        <v>0</v>
      </c>
      <c r="B132" s="257">
        <f t="shared" si="21"/>
        <v>0</v>
      </c>
      <c r="C132" s="257">
        <f t="shared" si="21"/>
        <v>0</v>
      </c>
      <c r="D132" s="257">
        <f t="shared" si="21"/>
        <v>0</v>
      </c>
      <c r="E132" s="257">
        <f t="shared" si="21"/>
        <v>0</v>
      </c>
      <c r="F132" s="257">
        <f t="shared" si="21"/>
        <v>0</v>
      </c>
      <c r="G132" s="257">
        <f t="shared" si="21"/>
        <v>0</v>
      </c>
      <c r="H132" s="257">
        <f t="shared" si="21"/>
        <v>0</v>
      </c>
    </row>
    <row r="133" spans="1:8" x14ac:dyDescent="0.2">
      <c r="A133" s="83" t="str">
        <f t="shared" si="19"/>
        <v>Onion</v>
      </c>
      <c r="B133" s="257">
        <f t="shared" si="21"/>
        <v>0</v>
      </c>
      <c r="C133" s="257">
        <f t="shared" si="21"/>
        <v>0</v>
      </c>
      <c r="D133" s="257">
        <f t="shared" si="21"/>
        <v>0</v>
      </c>
      <c r="E133" s="257">
        <f t="shared" si="21"/>
        <v>0</v>
      </c>
      <c r="F133" s="257">
        <f t="shared" si="21"/>
        <v>0</v>
      </c>
      <c r="G133" s="257">
        <f t="shared" si="21"/>
        <v>0</v>
      </c>
      <c r="H133" s="257">
        <f t="shared" si="21"/>
        <v>0</v>
      </c>
    </row>
    <row r="134" spans="1:8" x14ac:dyDescent="0.2">
      <c r="A134" s="83" t="str">
        <f t="shared" si="19"/>
        <v>Tomato</v>
      </c>
      <c r="B134" s="257">
        <f t="shared" si="21"/>
        <v>0</v>
      </c>
      <c r="C134" s="257">
        <f t="shared" si="21"/>
        <v>0</v>
      </c>
      <c r="D134" s="257">
        <f t="shared" si="21"/>
        <v>0</v>
      </c>
      <c r="E134" s="257">
        <f t="shared" si="21"/>
        <v>0</v>
      </c>
      <c r="F134" s="257">
        <f t="shared" si="21"/>
        <v>0</v>
      </c>
      <c r="G134" s="257">
        <f t="shared" si="21"/>
        <v>0</v>
      </c>
      <c r="H134" s="257">
        <f t="shared" si="21"/>
        <v>0</v>
      </c>
    </row>
    <row r="135" spans="1:8" x14ac:dyDescent="0.2">
      <c r="A135" s="83" t="str">
        <f t="shared" si="19"/>
        <v>Okra</v>
      </c>
      <c r="B135" s="257">
        <f t="shared" si="21"/>
        <v>0</v>
      </c>
      <c r="C135" s="257">
        <f t="shared" si="21"/>
        <v>0</v>
      </c>
      <c r="D135" s="257">
        <f t="shared" si="21"/>
        <v>0</v>
      </c>
      <c r="E135" s="257">
        <f t="shared" si="21"/>
        <v>0</v>
      </c>
      <c r="F135" s="257">
        <f t="shared" si="21"/>
        <v>0</v>
      </c>
      <c r="G135" s="257">
        <f t="shared" si="21"/>
        <v>0</v>
      </c>
      <c r="H135" s="257">
        <f t="shared" si="21"/>
        <v>0</v>
      </c>
    </row>
    <row r="136" spans="1:8" x14ac:dyDescent="0.2">
      <c r="A136" s="83" t="str">
        <f t="shared" si="19"/>
        <v>Chilli</v>
      </c>
      <c r="B136" s="257">
        <f t="shared" si="21"/>
        <v>0</v>
      </c>
      <c r="C136" s="257">
        <f t="shared" si="21"/>
        <v>0</v>
      </c>
      <c r="D136" s="257">
        <f t="shared" si="21"/>
        <v>0</v>
      </c>
      <c r="E136" s="257">
        <f t="shared" si="21"/>
        <v>0</v>
      </c>
      <c r="F136" s="257">
        <f t="shared" si="21"/>
        <v>0</v>
      </c>
      <c r="G136" s="257">
        <f t="shared" si="21"/>
        <v>0</v>
      </c>
      <c r="H136" s="257">
        <f t="shared" si="21"/>
        <v>0</v>
      </c>
    </row>
    <row r="137" spans="1:8" x14ac:dyDescent="0.2">
      <c r="A137" s="83" t="str">
        <f t="shared" si="19"/>
        <v>Brinjal</v>
      </c>
      <c r="B137" s="257">
        <f t="shared" si="21"/>
        <v>0</v>
      </c>
      <c r="C137" s="257">
        <f t="shared" si="21"/>
        <v>0</v>
      </c>
      <c r="D137" s="257">
        <f t="shared" si="21"/>
        <v>0</v>
      </c>
      <c r="E137" s="257">
        <f t="shared" si="21"/>
        <v>0</v>
      </c>
      <c r="F137" s="257">
        <f t="shared" si="21"/>
        <v>0</v>
      </c>
      <c r="G137" s="257">
        <f t="shared" si="21"/>
        <v>0</v>
      </c>
      <c r="H137" s="257">
        <f t="shared" si="21"/>
        <v>0</v>
      </c>
    </row>
    <row r="138" spans="1:8" x14ac:dyDescent="0.2">
      <c r="A138" s="83">
        <f t="shared" si="19"/>
        <v>0</v>
      </c>
      <c r="B138" s="257">
        <f t="shared" si="21"/>
        <v>0</v>
      </c>
      <c r="C138" s="257">
        <f t="shared" si="21"/>
        <v>0</v>
      </c>
      <c r="D138" s="257">
        <f t="shared" si="21"/>
        <v>0</v>
      </c>
      <c r="E138" s="257">
        <f t="shared" si="21"/>
        <v>0</v>
      </c>
      <c r="F138" s="257">
        <f t="shared" si="21"/>
        <v>0</v>
      </c>
      <c r="G138" s="257">
        <f t="shared" si="21"/>
        <v>0</v>
      </c>
      <c r="H138" s="257">
        <f t="shared" si="21"/>
        <v>0</v>
      </c>
    </row>
    <row r="139" spans="1:8" x14ac:dyDescent="0.2">
      <c r="A139" s="83">
        <f t="shared" si="19"/>
        <v>0</v>
      </c>
      <c r="B139" s="257">
        <f t="shared" si="21"/>
        <v>0</v>
      </c>
      <c r="C139" s="257">
        <f t="shared" si="21"/>
        <v>0</v>
      </c>
      <c r="D139" s="257">
        <f t="shared" si="21"/>
        <v>0</v>
      </c>
      <c r="E139" s="257">
        <f t="shared" si="21"/>
        <v>0</v>
      </c>
      <c r="F139" s="257">
        <f t="shared" si="21"/>
        <v>0</v>
      </c>
      <c r="G139" s="257">
        <f t="shared" si="21"/>
        <v>0</v>
      </c>
      <c r="H139" s="257">
        <f t="shared" si="21"/>
        <v>0</v>
      </c>
    </row>
    <row r="140" spans="1:8" x14ac:dyDescent="0.2">
      <c r="A140" s="83">
        <f t="shared" si="19"/>
        <v>0</v>
      </c>
      <c r="B140" s="257">
        <f t="shared" ref="B140:H141" si="22">B88-(B88*$G$6)</f>
        <v>0</v>
      </c>
      <c r="C140" s="257">
        <f t="shared" si="22"/>
        <v>0</v>
      </c>
      <c r="D140" s="257">
        <f t="shared" si="22"/>
        <v>0</v>
      </c>
      <c r="E140" s="257">
        <f t="shared" si="22"/>
        <v>0</v>
      </c>
      <c r="F140" s="257">
        <f t="shared" si="22"/>
        <v>0</v>
      </c>
      <c r="G140" s="257">
        <f t="shared" si="22"/>
        <v>0</v>
      </c>
      <c r="H140" s="257">
        <f t="shared" si="22"/>
        <v>0</v>
      </c>
    </row>
    <row r="141" spans="1:8" x14ac:dyDescent="0.2">
      <c r="A141" s="83">
        <f t="shared" si="19"/>
        <v>0</v>
      </c>
      <c r="B141" s="257">
        <f t="shared" si="22"/>
        <v>0</v>
      </c>
      <c r="C141" s="257">
        <f t="shared" si="22"/>
        <v>0</v>
      </c>
      <c r="D141" s="257">
        <f t="shared" si="22"/>
        <v>0</v>
      </c>
      <c r="E141" s="257">
        <f t="shared" si="22"/>
        <v>0</v>
      </c>
      <c r="F141" s="257">
        <f t="shared" si="22"/>
        <v>0</v>
      </c>
      <c r="G141" s="257">
        <f t="shared" si="22"/>
        <v>0</v>
      </c>
      <c r="H141" s="257">
        <f t="shared" si="22"/>
        <v>0</v>
      </c>
    </row>
    <row r="142" spans="1:8" x14ac:dyDescent="0.2">
      <c r="A142" s="83"/>
      <c r="B142" s="257"/>
      <c r="C142" s="257"/>
      <c r="D142" s="257"/>
      <c r="E142" s="257"/>
      <c r="F142" s="257"/>
      <c r="G142" s="257"/>
      <c r="H142" s="257"/>
    </row>
    <row r="143" spans="1:8" x14ac:dyDescent="0.2">
      <c r="A143" s="85" t="str">
        <f t="shared" ref="A143:A161" si="23">A91</f>
        <v>10 Grain Crop Production Details</v>
      </c>
      <c r="B143" s="257"/>
      <c r="C143" s="257"/>
      <c r="D143" s="257"/>
      <c r="E143" s="257"/>
      <c r="F143" s="257"/>
      <c r="G143" s="257"/>
      <c r="H143" s="257"/>
    </row>
    <row r="144" spans="1:8" x14ac:dyDescent="0.2">
      <c r="A144" s="83" t="str">
        <f t="shared" si="23"/>
        <v xml:space="preserve">Flax Seed </v>
      </c>
      <c r="B144" s="257">
        <f t="shared" ref="B144:H153" si="24">B92-(B92*$G$7)</f>
        <v>76.95</v>
      </c>
      <c r="C144" s="257">
        <f t="shared" si="24"/>
        <v>85.5</v>
      </c>
      <c r="D144" s="257">
        <f t="shared" si="24"/>
        <v>94.050000000000011</v>
      </c>
      <c r="E144" s="257">
        <f t="shared" si="24"/>
        <v>102.60000000000002</v>
      </c>
      <c r="F144" s="257">
        <f t="shared" si="24"/>
        <v>111.15000000000003</v>
      </c>
      <c r="G144" s="257">
        <f t="shared" si="24"/>
        <v>119.70000000000003</v>
      </c>
      <c r="H144" s="257">
        <f t="shared" si="24"/>
        <v>128.25000000000006</v>
      </c>
    </row>
    <row r="145" spans="1:8" x14ac:dyDescent="0.2">
      <c r="A145" s="83" t="e">
        <f t="shared" si="23"/>
        <v>#REF!</v>
      </c>
      <c r="B145" s="257" t="e">
        <f t="shared" si="24"/>
        <v>#REF!</v>
      </c>
      <c r="C145" s="257" t="e">
        <f t="shared" si="24"/>
        <v>#REF!</v>
      </c>
      <c r="D145" s="257" t="e">
        <f t="shared" si="24"/>
        <v>#REF!</v>
      </c>
      <c r="E145" s="257" t="e">
        <f t="shared" si="24"/>
        <v>#REF!</v>
      </c>
      <c r="F145" s="257" t="e">
        <f t="shared" si="24"/>
        <v>#REF!</v>
      </c>
      <c r="G145" s="257" t="e">
        <f t="shared" si="24"/>
        <v>#REF!</v>
      </c>
      <c r="H145" s="257" t="e">
        <f t="shared" si="24"/>
        <v>#REF!</v>
      </c>
    </row>
    <row r="146" spans="1:8" x14ac:dyDescent="0.2">
      <c r="A146" s="83" t="e">
        <f t="shared" si="23"/>
        <v>#REF!</v>
      </c>
      <c r="B146" s="257" t="e">
        <f t="shared" si="24"/>
        <v>#REF!</v>
      </c>
      <c r="C146" s="257" t="e">
        <f t="shared" si="24"/>
        <v>#REF!</v>
      </c>
      <c r="D146" s="257" t="e">
        <f t="shared" si="24"/>
        <v>#REF!</v>
      </c>
      <c r="E146" s="257" t="e">
        <f t="shared" si="24"/>
        <v>#REF!</v>
      </c>
      <c r="F146" s="257" t="e">
        <f t="shared" si="24"/>
        <v>#REF!</v>
      </c>
      <c r="G146" s="257" t="e">
        <f t="shared" si="24"/>
        <v>#REF!</v>
      </c>
      <c r="H146" s="257" t="e">
        <f t="shared" si="24"/>
        <v>#REF!</v>
      </c>
    </row>
    <row r="147" spans="1:8" x14ac:dyDescent="0.2">
      <c r="A147" s="83" t="str">
        <f t="shared" si="23"/>
        <v>Safflower</v>
      </c>
      <c r="B147" s="257">
        <f t="shared" si="24"/>
        <v>38.475000000000001</v>
      </c>
      <c r="C147" s="257">
        <f t="shared" si="24"/>
        <v>42.75</v>
      </c>
      <c r="D147" s="257">
        <f t="shared" si="24"/>
        <v>47.025000000000006</v>
      </c>
      <c r="E147" s="257">
        <f t="shared" si="24"/>
        <v>51.300000000000011</v>
      </c>
      <c r="F147" s="257">
        <f t="shared" si="24"/>
        <v>55.575000000000017</v>
      </c>
      <c r="G147" s="257">
        <f t="shared" si="24"/>
        <v>59.850000000000016</v>
      </c>
      <c r="H147" s="257">
        <f t="shared" si="24"/>
        <v>64.125000000000028</v>
      </c>
    </row>
    <row r="148" spans="1:8" x14ac:dyDescent="0.2">
      <c r="A148" s="83" t="e">
        <f t="shared" si="23"/>
        <v>#REF!</v>
      </c>
      <c r="B148" s="257" t="e">
        <f t="shared" si="24"/>
        <v>#REF!</v>
      </c>
      <c r="C148" s="257" t="e">
        <f t="shared" si="24"/>
        <v>#REF!</v>
      </c>
      <c r="D148" s="257" t="e">
        <f t="shared" si="24"/>
        <v>#REF!</v>
      </c>
      <c r="E148" s="257" t="e">
        <f t="shared" si="24"/>
        <v>#REF!</v>
      </c>
      <c r="F148" s="257" t="e">
        <f t="shared" si="24"/>
        <v>#REF!</v>
      </c>
      <c r="G148" s="257" t="e">
        <f t="shared" si="24"/>
        <v>#REF!</v>
      </c>
      <c r="H148" s="257" t="e">
        <f t="shared" si="24"/>
        <v>#REF!</v>
      </c>
    </row>
    <row r="149" spans="1:8" x14ac:dyDescent="0.2">
      <c r="A149" s="83" t="e">
        <f t="shared" si="23"/>
        <v>#REF!</v>
      </c>
      <c r="B149" s="257" t="e">
        <f t="shared" si="24"/>
        <v>#REF!</v>
      </c>
      <c r="C149" s="257" t="e">
        <f t="shared" si="24"/>
        <v>#REF!</v>
      </c>
      <c r="D149" s="257" t="e">
        <f t="shared" si="24"/>
        <v>#REF!</v>
      </c>
      <c r="E149" s="257" t="e">
        <f t="shared" si="24"/>
        <v>#REF!</v>
      </c>
      <c r="F149" s="257" t="e">
        <f t="shared" si="24"/>
        <v>#REF!</v>
      </c>
      <c r="G149" s="257" t="e">
        <f t="shared" si="24"/>
        <v>#REF!</v>
      </c>
      <c r="H149" s="257" t="e">
        <f t="shared" si="24"/>
        <v>#REF!</v>
      </c>
    </row>
    <row r="150" spans="1:8" x14ac:dyDescent="0.2">
      <c r="A150" s="83" t="e">
        <f t="shared" si="23"/>
        <v>#REF!</v>
      </c>
      <c r="B150" s="257" t="e">
        <f t="shared" si="24"/>
        <v>#REF!</v>
      </c>
      <c r="C150" s="257" t="e">
        <f t="shared" si="24"/>
        <v>#REF!</v>
      </c>
      <c r="D150" s="257" t="e">
        <f t="shared" si="24"/>
        <v>#REF!</v>
      </c>
      <c r="E150" s="257" t="e">
        <f t="shared" si="24"/>
        <v>#REF!</v>
      </c>
      <c r="F150" s="257" t="e">
        <f t="shared" si="24"/>
        <v>#REF!</v>
      </c>
      <c r="G150" s="257" t="e">
        <f t="shared" si="24"/>
        <v>#REF!</v>
      </c>
      <c r="H150" s="257" t="e">
        <f t="shared" si="24"/>
        <v>#REF!</v>
      </c>
    </row>
    <row r="151" spans="1:8" x14ac:dyDescent="0.2">
      <c r="A151" s="83" t="e">
        <f t="shared" si="23"/>
        <v>#REF!</v>
      </c>
      <c r="B151" s="257" t="e">
        <f t="shared" si="24"/>
        <v>#REF!</v>
      </c>
      <c r="C151" s="257" t="e">
        <f t="shared" si="24"/>
        <v>#REF!</v>
      </c>
      <c r="D151" s="257" t="e">
        <f t="shared" si="24"/>
        <v>#REF!</v>
      </c>
      <c r="E151" s="257" t="e">
        <f t="shared" si="24"/>
        <v>#REF!</v>
      </c>
      <c r="F151" s="257" t="e">
        <f t="shared" si="24"/>
        <v>#REF!</v>
      </c>
      <c r="G151" s="257" t="e">
        <f t="shared" si="24"/>
        <v>#REF!</v>
      </c>
      <c r="H151" s="257" t="e">
        <f t="shared" si="24"/>
        <v>#REF!</v>
      </c>
    </row>
    <row r="152" spans="1:8" x14ac:dyDescent="0.2">
      <c r="A152" s="83" t="e">
        <f t="shared" si="23"/>
        <v>#REF!</v>
      </c>
      <c r="B152" s="257" t="e">
        <f t="shared" si="24"/>
        <v>#REF!</v>
      </c>
      <c r="C152" s="257" t="e">
        <f t="shared" si="24"/>
        <v>#REF!</v>
      </c>
      <c r="D152" s="257" t="e">
        <f t="shared" si="24"/>
        <v>#REF!</v>
      </c>
      <c r="E152" s="257" t="e">
        <f t="shared" si="24"/>
        <v>#REF!</v>
      </c>
      <c r="F152" s="257" t="e">
        <f t="shared" si="24"/>
        <v>#REF!</v>
      </c>
      <c r="G152" s="257" t="e">
        <f t="shared" si="24"/>
        <v>#REF!</v>
      </c>
      <c r="H152" s="257" t="e">
        <f t="shared" si="24"/>
        <v>#REF!</v>
      </c>
    </row>
    <row r="153" spans="1:8" x14ac:dyDescent="0.2">
      <c r="A153" s="83" t="e">
        <f t="shared" si="23"/>
        <v>#REF!</v>
      </c>
      <c r="B153" s="257" t="e">
        <f t="shared" si="24"/>
        <v>#REF!</v>
      </c>
      <c r="C153" s="257" t="e">
        <f t="shared" si="24"/>
        <v>#REF!</v>
      </c>
      <c r="D153" s="257" t="e">
        <f t="shared" si="24"/>
        <v>#REF!</v>
      </c>
      <c r="E153" s="257" t="e">
        <f t="shared" si="24"/>
        <v>#REF!</v>
      </c>
      <c r="F153" s="257" t="e">
        <f t="shared" si="24"/>
        <v>#REF!</v>
      </c>
      <c r="G153" s="257" t="e">
        <f t="shared" si="24"/>
        <v>#REF!</v>
      </c>
      <c r="H153" s="257" t="e">
        <f t="shared" si="24"/>
        <v>#REF!</v>
      </c>
    </row>
    <row r="154" spans="1:8" x14ac:dyDescent="0.2">
      <c r="A154" s="83" t="e">
        <f t="shared" si="23"/>
        <v>#REF!</v>
      </c>
      <c r="B154" s="257" t="e">
        <f t="shared" ref="B154:H161" si="25">B102-(B102*$G$7)</f>
        <v>#REF!</v>
      </c>
      <c r="C154" s="257" t="e">
        <f t="shared" si="25"/>
        <v>#REF!</v>
      </c>
      <c r="D154" s="257" t="e">
        <f t="shared" si="25"/>
        <v>#REF!</v>
      </c>
      <c r="E154" s="257" t="e">
        <f t="shared" si="25"/>
        <v>#REF!</v>
      </c>
      <c r="F154" s="257" t="e">
        <f t="shared" si="25"/>
        <v>#REF!</v>
      </c>
      <c r="G154" s="257" t="e">
        <f t="shared" si="25"/>
        <v>#REF!</v>
      </c>
      <c r="H154" s="257" t="e">
        <f t="shared" si="25"/>
        <v>#REF!</v>
      </c>
    </row>
    <row r="155" spans="1:8" x14ac:dyDescent="0.2">
      <c r="A155" s="83" t="e">
        <f t="shared" si="23"/>
        <v>#REF!</v>
      </c>
      <c r="B155" s="257" t="e">
        <f t="shared" si="25"/>
        <v>#REF!</v>
      </c>
      <c r="C155" s="257" t="e">
        <f t="shared" si="25"/>
        <v>#REF!</v>
      </c>
      <c r="D155" s="257" t="e">
        <f t="shared" si="25"/>
        <v>#REF!</v>
      </c>
      <c r="E155" s="257" t="e">
        <f t="shared" si="25"/>
        <v>#REF!</v>
      </c>
      <c r="F155" s="257" t="e">
        <f t="shared" si="25"/>
        <v>#REF!</v>
      </c>
      <c r="G155" s="257" t="e">
        <f t="shared" si="25"/>
        <v>#REF!</v>
      </c>
      <c r="H155" s="257" t="e">
        <f t="shared" si="25"/>
        <v>#REF!</v>
      </c>
    </row>
    <row r="156" spans="1:8" x14ac:dyDescent="0.2">
      <c r="A156" s="83" t="e">
        <f t="shared" si="23"/>
        <v>#REF!</v>
      </c>
      <c r="B156" s="257" t="e">
        <f t="shared" si="25"/>
        <v>#REF!</v>
      </c>
      <c r="C156" s="257" t="e">
        <f t="shared" si="25"/>
        <v>#REF!</v>
      </c>
      <c r="D156" s="257" t="e">
        <f t="shared" si="25"/>
        <v>#REF!</v>
      </c>
      <c r="E156" s="257" t="e">
        <f t="shared" si="25"/>
        <v>#REF!</v>
      </c>
      <c r="F156" s="257" t="e">
        <f t="shared" si="25"/>
        <v>#REF!</v>
      </c>
      <c r="G156" s="257" t="e">
        <f t="shared" si="25"/>
        <v>#REF!</v>
      </c>
      <c r="H156" s="257" t="e">
        <f t="shared" si="25"/>
        <v>#REF!</v>
      </c>
    </row>
    <row r="157" spans="1:8" x14ac:dyDescent="0.2">
      <c r="A157" s="83" t="e">
        <f t="shared" si="23"/>
        <v>#REF!</v>
      </c>
      <c r="B157" s="257" t="e">
        <f t="shared" si="25"/>
        <v>#REF!</v>
      </c>
      <c r="C157" s="257" t="e">
        <f t="shared" si="25"/>
        <v>#REF!</v>
      </c>
      <c r="D157" s="257" t="e">
        <f t="shared" si="25"/>
        <v>#REF!</v>
      </c>
      <c r="E157" s="257" t="e">
        <f t="shared" si="25"/>
        <v>#REF!</v>
      </c>
      <c r="F157" s="257" t="e">
        <f t="shared" si="25"/>
        <v>#REF!</v>
      </c>
      <c r="G157" s="257" t="e">
        <f t="shared" si="25"/>
        <v>#REF!</v>
      </c>
      <c r="H157" s="257" t="e">
        <f t="shared" si="25"/>
        <v>#REF!</v>
      </c>
    </row>
    <row r="158" spans="1:8" x14ac:dyDescent="0.2">
      <c r="A158" s="83" t="e">
        <f t="shared" si="23"/>
        <v>#REF!</v>
      </c>
      <c r="B158" s="257" t="e">
        <f t="shared" si="25"/>
        <v>#REF!</v>
      </c>
      <c r="C158" s="257" t="e">
        <f t="shared" si="25"/>
        <v>#REF!</v>
      </c>
      <c r="D158" s="257" t="e">
        <f t="shared" si="25"/>
        <v>#REF!</v>
      </c>
      <c r="E158" s="257" t="e">
        <f t="shared" si="25"/>
        <v>#REF!</v>
      </c>
      <c r="F158" s="257" t="e">
        <f t="shared" si="25"/>
        <v>#REF!</v>
      </c>
      <c r="G158" s="257" t="e">
        <f t="shared" si="25"/>
        <v>#REF!</v>
      </c>
      <c r="H158" s="257" t="e">
        <f t="shared" si="25"/>
        <v>#REF!</v>
      </c>
    </row>
    <row r="159" spans="1:8" x14ac:dyDescent="0.2">
      <c r="A159" s="83" t="e">
        <f t="shared" si="23"/>
        <v>#REF!</v>
      </c>
      <c r="B159" s="257" t="e">
        <f t="shared" si="25"/>
        <v>#REF!</v>
      </c>
      <c r="C159" s="257" t="e">
        <f t="shared" si="25"/>
        <v>#REF!</v>
      </c>
      <c r="D159" s="257" t="e">
        <f t="shared" si="25"/>
        <v>#REF!</v>
      </c>
      <c r="E159" s="257" t="e">
        <f t="shared" si="25"/>
        <v>#REF!</v>
      </c>
      <c r="F159" s="257" t="e">
        <f t="shared" si="25"/>
        <v>#REF!</v>
      </c>
      <c r="G159" s="257" t="e">
        <f t="shared" si="25"/>
        <v>#REF!</v>
      </c>
      <c r="H159" s="257" t="e">
        <f t="shared" si="25"/>
        <v>#REF!</v>
      </c>
    </row>
    <row r="160" spans="1:8" x14ac:dyDescent="0.2">
      <c r="A160" s="83" t="e">
        <f t="shared" si="23"/>
        <v>#REF!</v>
      </c>
      <c r="B160" s="257" t="e">
        <f t="shared" si="25"/>
        <v>#REF!</v>
      </c>
      <c r="C160" s="257" t="e">
        <f t="shared" si="25"/>
        <v>#REF!</v>
      </c>
      <c r="D160" s="257" t="e">
        <f t="shared" si="25"/>
        <v>#REF!</v>
      </c>
      <c r="E160" s="257" t="e">
        <f t="shared" si="25"/>
        <v>#REF!</v>
      </c>
      <c r="F160" s="257" t="e">
        <f t="shared" si="25"/>
        <v>#REF!</v>
      </c>
      <c r="G160" s="257" t="e">
        <f t="shared" si="25"/>
        <v>#REF!</v>
      </c>
      <c r="H160" s="257" t="e">
        <f t="shared" si="25"/>
        <v>#REF!</v>
      </c>
    </row>
    <row r="161" spans="1:20" x14ac:dyDescent="0.2">
      <c r="A161" s="83" t="e">
        <f t="shared" si="23"/>
        <v>#REF!</v>
      </c>
      <c r="B161" s="257" t="e">
        <f t="shared" si="25"/>
        <v>#REF!</v>
      </c>
      <c r="C161" s="257" t="e">
        <f t="shared" si="25"/>
        <v>#REF!</v>
      </c>
      <c r="D161" s="257" t="e">
        <f t="shared" si="25"/>
        <v>#REF!</v>
      </c>
      <c r="E161" s="257" t="e">
        <f t="shared" si="25"/>
        <v>#REF!</v>
      </c>
      <c r="F161" s="257" t="e">
        <f t="shared" si="25"/>
        <v>#REF!</v>
      </c>
      <c r="G161" s="257" t="e">
        <f t="shared" si="25"/>
        <v>#REF!</v>
      </c>
      <c r="H161" s="257" t="e">
        <f t="shared" si="25"/>
        <v>#REF!</v>
      </c>
    </row>
    <row r="162" spans="1:20" x14ac:dyDescent="0.2">
      <c r="A162" s="83" t="e">
        <f t="shared" ref="A162:A165" si="26">A110</f>
        <v>#REF!</v>
      </c>
      <c r="B162" s="257">
        <f t="shared" ref="B162:H162" si="27">B110-(B110*$G$7)</f>
        <v>0</v>
      </c>
      <c r="C162" s="257">
        <f t="shared" si="27"/>
        <v>0</v>
      </c>
      <c r="D162" s="257">
        <f t="shared" si="27"/>
        <v>0</v>
      </c>
      <c r="E162" s="257">
        <f t="shared" si="27"/>
        <v>0</v>
      </c>
      <c r="F162" s="257">
        <f t="shared" si="27"/>
        <v>0</v>
      </c>
      <c r="G162" s="257">
        <f t="shared" si="27"/>
        <v>0</v>
      </c>
      <c r="H162" s="257">
        <f t="shared" si="27"/>
        <v>0</v>
      </c>
    </row>
    <row r="163" spans="1:20" x14ac:dyDescent="0.2">
      <c r="A163" s="83" t="e">
        <f t="shared" si="26"/>
        <v>#REF!</v>
      </c>
      <c r="B163" s="257">
        <f t="shared" ref="B163:H163" si="28">B111-(B111*$G$7)</f>
        <v>0</v>
      </c>
      <c r="C163" s="257">
        <f t="shared" si="28"/>
        <v>0</v>
      </c>
      <c r="D163" s="257">
        <f t="shared" si="28"/>
        <v>0</v>
      </c>
      <c r="E163" s="257">
        <f t="shared" si="28"/>
        <v>0</v>
      </c>
      <c r="F163" s="257">
        <f t="shared" si="28"/>
        <v>0</v>
      </c>
      <c r="G163" s="257">
        <f t="shared" si="28"/>
        <v>0</v>
      </c>
      <c r="H163" s="257">
        <f t="shared" si="28"/>
        <v>0</v>
      </c>
    </row>
    <row r="164" spans="1:20" x14ac:dyDescent="0.2">
      <c r="A164" s="83" t="e">
        <f t="shared" si="26"/>
        <v>#REF!</v>
      </c>
      <c r="B164" s="257">
        <f t="shared" ref="B164:H165" si="29">B112-(B112*$G$7)</f>
        <v>0</v>
      </c>
      <c r="C164" s="257">
        <f t="shared" si="29"/>
        <v>0</v>
      </c>
      <c r="D164" s="257">
        <f t="shared" si="29"/>
        <v>0</v>
      </c>
      <c r="E164" s="257">
        <f t="shared" si="29"/>
        <v>0</v>
      </c>
      <c r="F164" s="257">
        <f t="shared" si="29"/>
        <v>0</v>
      </c>
      <c r="G164" s="257">
        <f t="shared" si="29"/>
        <v>0</v>
      </c>
      <c r="H164" s="257">
        <f t="shared" si="29"/>
        <v>0</v>
      </c>
    </row>
    <row r="165" spans="1:20" x14ac:dyDescent="0.2">
      <c r="A165" s="83" t="e">
        <f t="shared" si="26"/>
        <v>#REF!</v>
      </c>
      <c r="B165" s="257" t="e">
        <f t="shared" si="29"/>
        <v>#REF!</v>
      </c>
      <c r="C165" s="257" t="e">
        <f t="shared" ref="C165:H168" si="30">C113-(C113*$G$7)</f>
        <v>#REF!</v>
      </c>
      <c r="D165" s="257" t="e">
        <f t="shared" si="30"/>
        <v>#REF!</v>
      </c>
      <c r="E165" s="257" t="e">
        <f t="shared" si="30"/>
        <v>#REF!</v>
      </c>
      <c r="F165" s="257" t="e">
        <f t="shared" si="30"/>
        <v>#REF!</v>
      </c>
      <c r="G165" s="257" t="e">
        <f t="shared" si="30"/>
        <v>#REF!</v>
      </c>
      <c r="H165" s="257" t="e">
        <f t="shared" si="30"/>
        <v>#REF!</v>
      </c>
    </row>
    <row r="166" spans="1:20" x14ac:dyDescent="0.2">
      <c r="A166" s="83" t="e">
        <f>A114</f>
        <v>#REF!</v>
      </c>
      <c r="B166" s="257" t="e">
        <f>B114-(B114*$G$7)</f>
        <v>#REF!</v>
      </c>
      <c r="C166" s="257" t="e">
        <f t="shared" si="30"/>
        <v>#REF!</v>
      </c>
      <c r="D166" s="257" t="e">
        <f t="shared" si="30"/>
        <v>#REF!</v>
      </c>
      <c r="E166" s="257" t="e">
        <f t="shared" si="30"/>
        <v>#REF!</v>
      </c>
      <c r="F166" s="257" t="e">
        <f t="shared" si="30"/>
        <v>#REF!</v>
      </c>
      <c r="G166" s="257" t="e">
        <f t="shared" si="30"/>
        <v>#REF!</v>
      </c>
      <c r="H166" s="257" t="e">
        <f t="shared" si="30"/>
        <v>#REF!</v>
      </c>
    </row>
    <row r="167" spans="1:20" x14ac:dyDescent="0.2">
      <c r="A167" s="83" t="e">
        <f>A115</f>
        <v>#REF!</v>
      </c>
      <c r="B167" s="257" t="e">
        <f>B115-(B115*$G$7)</f>
        <v>#REF!</v>
      </c>
      <c r="C167" s="257" t="e">
        <f t="shared" si="30"/>
        <v>#REF!</v>
      </c>
      <c r="D167" s="257" t="e">
        <f t="shared" si="30"/>
        <v>#REF!</v>
      </c>
      <c r="E167" s="257" t="e">
        <f t="shared" si="30"/>
        <v>#REF!</v>
      </c>
      <c r="F167" s="257" t="e">
        <f t="shared" si="30"/>
        <v>#REF!</v>
      </c>
      <c r="G167" s="257" t="e">
        <f t="shared" si="30"/>
        <v>#REF!</v>
      </c>
      <c r="H167" s="257" t="e">
        <f t="shared" si="30"/>
        <v>#REF!</v>
      </c>
    </row>
    <row r="168" spans="1:20" x14ac:dyDescent="0.2">
      <c r="A168" s="83" t="e">
        <f>A116</f>
        <v>#REF!</v>
      </c>
      <c r="B168" s="257" t="e">
        <f>B116-(B116*$G$7)</f>
        <v>#REF!</v>
      </c>
      <c r="C168" s="257" t="e">
        <f t="shared" si="30"/>
        <v>#REF!</v>
      </c>
      <c r="D168" s="257" t="e">
        <f t="shared" si="30"/>
        <v>#REF!</v>
      </c>
      <c r="E168" s="257" t="e">
        <f t="shared" si="30"/>
        <v>#REF!</v>
      </c>
      <c r="F168" s="257" t="e">
        <f t="shared" si="30"/>
        <v>#REF!</v>
      </c>
      <c r="G168" s="257" t="e">
        <f t="shared" si="30"/>
        <v>#REF!</v>
      </c>
      <c r="H168" s="257" t="e">
        <f t="shared" si="30"/>
        <v>#REF!</v>
      </c>
    </row>
    <row r="169" spans="1:20" x14ac:dyDescent="0.2">
      <c r="A169" s="149"/>
    </row>
    <row r="170" spans="1:20" ht="18" x14ac:dyDescent="0.2">
      <c r="A170" s="704" t="s">
        <v>529</v>
      </c>
      <c r="B170" s="704"/>
      <c r="C170" s="704"/>
      <c r="D170" s="704"/>
      <c r="E170" s="704"/>
      <c r="F170" s="704"/>
      <c r="G170" s="704"/>
      <c r="H170" s="704"/>
      <c r="I170" s="704"/>
      <c r="J170" s="704"/>
    </row>
    <row r="171" spans="1:20" x14ac:dyDescent="0.2">
      <c r="A171" s="16"/>
      <c r="B171" s="16"/>
      <c r="C171" s="16"/>
      <c r="D171" s="16"/>
      <c r="E171" s="16"/>
      <c r="F171" s="16"/>
      <c r="G171" s="16"/>
      <c r="H171" s="16"/>
    </row>
    <row r="172" spans="1:20" x14ac:dyDescent="0.2">
      <c r="A172" s="159"/>
      <c r="B172" s="159"/>
      <c r="C172" s="159"/>
      <c r="D172" s="160">
        <v>1</v>
      </c>
      <c r="E172" s="161">
        <f>(D172*5%)+D172</f>
        <v>1.05</v>
      </c>
      <c r="F172" s="161">
        <f t="shared" ref="F172:J172" si="31">(E172*5%)+E172</f>
        <v>1.1025</v>
      </c>
      <c r="G172" s="161">
        <f t="shared" si="31"/>
        <v>1.1576250000000001</v>
      </c>
      <c r="H172" s="161">
        <f t="shared" si="31"/>
        <v>1.2155062500000002</v>
      </c>
      <c r="I172" s="161">
        <f t="shared" si="31"/>
        <v>1.2762815625000004</v>
      </c>
      <c r="J172" s="161">
        <f t="shared" si="31"/>
        <v>1.3400956406250004</v>
      </c>
      <c r="K172" s="78"/>
      <c r="L172" s="78"/>
      <c r="M172" s="78"/>
      <c r="N172" s="78"/>
      <c r="O172" s="78"/>
      <c r="P172" s="78"/>
      <c r="Q172" s="78"/>
      <c r="R172" s="78"/>
      <c r="S172" s="78"/>
      <c r="T172" s="78"/>
    </row>
    <row r="173" spans="1:20" x14ac:dyDescent="0.2">
      <c r="A173" s="78"/>
      <c r="B173" s="78"/>
      <c r="C173" s="78"/>
      <c r="D173" s="78"/>
      <c r="E173" s="78"/>
      <c r="F173" s="78"/>
      <c r="G173" s="78"/>
      <c r="H173" s="78"/>
      <c r="I173" s="78"/>
      <c r="J173" s="78"/>
      <c r="K173" s="78"/>
      <c r="L173" s="78"/>
      <c r="M173" s="78"/>
      <c r="N173" s="78"/>
      <c r="O173" s="78"/>
      <c r="P173" s="78"/>
      <c r="Q173" s="78"/>
      <c r="R173" s="78"/>
      <c r="S173" s="78"/>
      <c r="T173" s="78"/>
    </row>
    <row r="174" spans="1:20" x14ac:dyDescent="0.2">
      <c r="A174" s="78"/>
      <c r="B174" s="78"/>
      <c r="C174" s="78"/>
      <c r="D174" s="143"/>
      <c r="E174" s="143"/>
      <c r="F174" s="143"/>
      <c r="G174" s="143"/>
      <c r="H174" s="143"/>
      <c r="I174" s="143"/>
      <c r="J174" s="143"/>
      <c r="K174" s="78"/>
      <c r="L174" s="78"/>
    </row>
    <row r="175" spans="1:20" x14ac:dyDescent="0.2">
      <c r="A175" s="69" t="s">
        <v>0</v>
      </c>
      <c r="B175" s="69"/>
      <c r="C175" s="69" t="s">
        <v>148</v>
      </c>
      <c r="D175" s="70" t="s">
        <v>2</v>
      </c>
      <c r="E175" s="70" t="s">
        <v>3</v>
      </c>
      <c r="F175" s="70" t="s">
        <v>4</v>
      </c>
      <c r="G175" s="70" t="s">
        <v>5</v>
      </c>
      <c r="H175" s="70" t="s">
        <v>6</v>
      </c>
      <c r="I175" s="70" t="s">
        <v>163</v>
      </c>
      <c r="J175" s="70" t="s">
        <v>162</v>
      </c>
      <c r="K175" s="78"/>
      <c r="L175" s="78"/>
    </row>
    <row r="176" spans="1:20" x14ac:dyDescent="0.2">
      <c r="A176" s="81"/>
      <c r="B176" s="81"/>
      <c r="C176" s="81"/>
      <c r="D176" s="79"/>
      <c r="E176" s="79"/>
      <c r="F176" s="79"/>
      <c r="G176" s="79"/>
      <c r="H176" s="79"/>
      <c r="I176" s="79"/>
      <c r="J176" s="79"/>
      <c r="K176" s="78"/>
      <c r="L176" s="78"/>
    </row>
    <row r="177" spans="1:12" x14ac:dyDescent="0.2">
      <c r="A177" s="81" t="s">
        <v>124</v>
      </c>
      <c r="B177" s="81"/>
      <c r="C177" s="81"/>
      <c r="D177" s="79"/>
      <c r="E177" s="79"/>
      <c r="F177" s="79"/>
      <c r="G177" s="79"/>
      <c r="H177" s="79"/>
      <c r="I177" s="79"/>
      <c r="J177" s="79"/>
      <c r="K177" s="78"/>
      <c r="L177" s="78"/>
    </row>
    <row r="178" spans="1:12" x14ac:dyDescent="0.2">
      <c r="A178" s="79">
        <f t="shared" ref="A178:A198" si="32">A120</f>
        <v>0</v>
      </c>
      <c r="B178" s="79" t="s">
        <v>349</v>
      </c>
      <c r="C178" s="219">
        <v>4000</v>
      </c>
      <c r="D178" s="162">
        <f>(B120*(1-'5.Closing Stock &amp; W Capital'!$D$16))*C$178*D172</f>
        <v>0</v>
      </c>
      <c r="E178" s="162">
        <f>((C120*(1-'5.Closing Stock &amp; W Capital'!$D$16))+(B120*'5.Closing Stock &amp; W Capital'!$D$16))*$C178*E$172</f>
        <v>0</v>
      </c>
      <c r="F178" s="162">
        <f>((D120*(1-'5.Closing Stock &amp; W Capital'!$D$16))+(C120*'5.Closing Stock &amp; W Capital'!$D$16))*$C178*F$172</f>
        <v>0</v>
      </c>
      <c r="G178" s="162">
        <f>((E120*(1-'5.Closing Stock &amp; W Capital'!$D$16))+(D120*'5.Closing Stock &amp; W Capital'!$D$16))*$C178*G$172</f>
        <v>0</v>
      </c>
      <c r="H178" s="162">
        <f>((F120*(1-'5.Closing Stock &amp; W Capital'!$D$16))+(E120*'5.Closing Stock &amp; W Capital'!$D$16))*$C178*H$172</f>
        <v>0</v>
      </c>
      <c r="I178" s="162">
        <f>((G120*(1-'5.Closing Stock &amp; W Capital'!$D$16))+(F120*'5.Closing Stock &amp; W Capital'!$D$16))*$C178*I$172</f>
        <v>0</v>
      </c>
      <c r="J178" s="162">
        <f>((H120*(1-'5.Closing Stock &amp; W Capital'!$D$16))+(G120*'5.Closing Stock &amp; W Capital'!$D$16))*$C178*J$172</f>
        <v>0</v>
      </c>
      <c r="K178" s="78"/>
      <c r="L178" s="78"/>
    </row>
    <row r="179" spans="1:12" x14ac:dyDescent="0.2">
      <c r="A179" s="79" t="str">
        <f t="shared" si="32"/>
        <v>11.3 Quantity of Marketable Surplus Produce Considered for Trading Business</v>
      </c>
      <c r="B179" s="79" t="s">
        <v>349</v>
      </c>
      <c r="C179" s="219">
        <v>6000</v>
      </c>
      <c r="D179" s="162">
        <f>(B121*(1-'5.Closing Stock &amp; W Capital'!$D$16))*$C179*D$172</f>
        <v>0</v>
      </c>
      <c r="E179" s="162">
        <f>((C121*(1-'5.Closing Stock &amp; W Capital'!$D$16))+(B121*'5.Closing Stock &amp; W Capital'!$D$16))*$C179*E$172</f>
        <v>0</v>
      </c>
      <c r="F179" s="162">
        <f>((D121*(1-'5.Closing Stock &amp; W Capital'!$D$16))+(C121*'5.Closing Stock &amp; W Capital'!$D$16))*$C179*F$172</f>
        <v>0</v>
      </c>
      <c r="G179" s="162">
        <f>((E121*(1-'5.Closing Stock &amp; W Capital'!$D$16))+(D121*'5.Closing Stock &amp; W Capital'!$D$16))*$C179*G$172</f>
        <v>0</v>
      </c>
      <c r="H179" s="162">
        <f>((F121*(1-'5.Closing Stock &amp; W Capital'!$D$16))+(E121*'5.Closing Stock &amp; W Capital'!$D$16))*$C179*H$172</f>
        <v>0</v>
      </c>
      <c r="I179" s="162">
        <f>((G121*(1-'5.Closing Stock &amp; W Capital'!$D$16))+(F121*'5.Closing Stock &amp; W Capital'!$D$16))*$C179*I$172</f>
        <v>0</v>
      </c>
      <c r="J179" s="162">
        <f>((H121*(1-'5.Closing Stock &amp; W Capital'!$D$16))+(G121*'5.Closing Stock &amp; W Capital'!$D$16))*$C179*J$172</f>
        <v>0</v>
      </c>
      <c r="K179" s="78"/>
      <c r="L179" s="78"/>
    </row>
    <row r="180" spans="1:12" x14ac:dyDescent="0.2">
      <c r="A180" s="79" t="str">
        <f t="shared" si="32"/>
        <v>Particulars</v>
      </c>
      <c r="B180" s="79" t="s">
        <v>349</v>
      </c>
      <c r="C180" s="219"/>
      <c r="D180" s="162">
        <f>(B122*(1-'5.Closing Stock &amp; W Capital'!$D$16))*$C180*D$172</f>
        <v>0</v>
      </c>
      <c r="E180" s="162">
        <f>((C122*(1-'5.Closing Stock &amp; W Capital'!$D$16))+(B122*'5.Closing Stock &amp; W Capital'!$D$16))*$C180*E$172</f>
        <v>0</v>
      </c>
      <c r="F180" s="162">
        <f>((D122*(1-'5.Closing Stock &amp; W Capital'!$D$16))+(C122*'5.Closing Stock &amp; W Capital'!$D$16))*$C180*F$172</f>
        <v>0</v>
      </c>
      <c r="G180" s="162">
        <f>((E122*(1-'5.Closing Stock &amp; W Capital'!$D$16))+(D122*'5.Closing Stock &amp; W Capital'!$D$16))*$C180*G$172</f>
        <v>0</v>
      </c>
      <c r="H180" s="162">
        <f>((F122*(1-'5.Closing Stock &amp; W Capital'!$D$16))+(E122*'5.Closing Stock &amp; W Capital'!$D$16))*$C180*H$172</f>
        <v>0</v>
      </c>
      <c r="I180" s="162">
        <f>((G122*(1-'5.Closing Stock &amp; W Capital'!$D$16))+(F122*'5.Closing Stock &amp; W Capital'!$D$16))*$C180*I$172</f>
        <v>0</v>
      </c>
      <c r="J180" s="162">
        <f>((H122*(1-'5.Closing Stock &amp; W Capital'!$D$16))+(G122*'5.Closing Stock &amp; W Capital'!$D$16))*$C180*J$172</f>
        <v>0</v>
      </c>
      <c r="K180" s="78"/>
      <c r="L180" s="78"/>
    </row>
    <row r="181" spans="1:12" x14ac:dyDescent="0.2">
      <c r="A181" s="79">
        <f t="shared" si="32"/>
        <v>0</v>
      </c>
      <c r="B181" s="79" t="s">
        <v>349</v>
      </c>
      <c r="C181" s="219">
        <v>6000</v>
      </c>
      <c r="D181" s="162" t="e">
        <f>(B123*(1-'5.Closing Stock &amp; W Capital'!$D$16))*$C181*D$172</f>
        <v>#VALUE!</v>
      </c>
      <c r="E181" s="162" t="e">
        <f>((C123*(1-'5.Closing Stock &amp; W Capital'!$D$16))+(B123*'5.Closing Stock &amp; W Capital'!$D$16))*$C181*E$172</f>
        <v>#VALUE!</v>
      </c>
      <c r="F181" s="162" t="e">
        <f>((D123*(1-'5.Closing Stock &amp; W Capital'!$D$16))+(C123*'5.Closing Stock &amp; W Capital'!$D$16))*$C181*F$172</f>
        <v>#VALUE!</v>
      </c>
      <c r="G181" s="162" t="e">
        <f>((E123*(1-'5.Closing Stock &amp; W Capital'!$D$16))+(D123*'5.Closing Stock &amp; W Capital'!$D$16))*$C181*G$172</f>
        <v>#VALUE!</v>
      </c>
      <c r="H181" s="162" t="e">
        <f>((F123*(1-'5.Closing Stock &amp; W Capital'!$D$16))+(E123*'5.Closing Stock &amp; W Capital'!$D$16))*$C181*H$172</f>
        <v>#VALUE!</v>
      </c>
      <c r="I181" s="162" t="e">
        <f>((G123*(1-'5.Closing Stock &amp; W Capital'!$D$16))+(F123*'5.Closing Stock &amp; W Capital'!$D$16))*$C181*I$172</f>
        <v>#VALUE!</v>
      </c>
      <c r="J181" s="162" t="e">
        <f>((H123*(1-'5.Closing Stock &amp; W Capital'!$D$16))+(G123*'5.Closing Stock &amp; W Capital'!$D$16))*$C181*J$172</f>
        <v>#VALUE!</v>
      </c>
      <c r="K181" s="78"/>
      <c r="L181" s="78"/>
    </row>
    <row r="182" spans="1:12" x14ac:dyDescent="0.2">
      <c r="A182" s="79" t="str">
        <f t="shared" si="32"/>
        <v>Onion</v>
      </c>
      <c r="B182" s="79" t="s">
        <v>349</v>
      </c>
      <c r="C182" s="219"/>
      <c r="D182" s="162">
        <f>(B124*(1-'5.Closing Stock &amp; W Capital'!$D$16))*$C182*D$172</f>
        <v>0</v>
      </c>
      <c r="E182" s="162">
        <f>((C124*(1-'5.Closing Stock &amp; W Capital'!$D$16))+(B124*'5.Closing Stock &amp; W Capital'!$D$16))*$C182*E$172</f>
        <v>0</v>
      </c>
      <c r="F182" s="162">
        <f>((D124*(1-'5.Closing Stock &amp; W Capital'!$D$16))+(C124*'5.Closing Stock &amp; W Capital'!$D$16))*$C182*F$172</f>
        <v>0</v>
      </c>
      <c r="G182" s="162">
        <f>((E124*(1-'5.Closing Stock &amp; W Capital'!$D$16))+(D124*'5.Closing Stock &amp; W Capital'!$D$16))*$C182*G$172</f>
        <v>0</v>
      </c>
      <c r="H182" s="162">
        <f>((F124*(1-'5.Closing Stock &amp; W Capital'!$D$16))+(E124*'5.Closing Stock &amp; W Capital'!$D$16))*$C182*H$172</f>
        <v>0</v>
      </c>
      <c r="I182" s="162">
        <f>((G124*(1-'5.Closing Stock &amp; W Capital'!$D$16))+(F124*'5.Closing Stock &amp; W Capital'!$D$16))*$C182*I$172</f>
        <v>0</v>
      </c>
      <c r="J182" s="162">
        <f>((H124*(1-'5.Closing Stock &amp; W Capital'!$D$16))+(G124*'5.Closing Stock &amp; W Capital'!$D$16))*$C182*J$172</f>
        <v>0</v>
      </c>
      <c r="K182" s="78"/>
      <c r="L182" s="78"/>
    </row>
    <row r="183" spans="1:12" x14ac:dyDescent="0.2">
      <c r="A183" s="79" t="str">
        <f t="shared" si="32"/>
        <v>Tomato</v>
      </c>
      <c r="B183" s="79" t="s">
        <v>349</v>
      </c>
      <c r="C183" s="219">
        <v>6500</v>
      </c>
      <c r="D183" s="162">
        <f>(B125*(1-'5.Closing Stock &amp; W Capital'!$D$16))*$C183*D$172</f>
        <v>0</v>
      </c>
      <c r="E183" s="162">
        <f>((C125*(1-'5.Closing Stock &amp; W Capital'!$D$16))+(B125*'5.Closing Stock &amp; W Capital'!$D$16))*$C183*E$172</f>
        <v>0</v>
      </c>
      <c r="F183" s="162">
        <f>((D125*(1-'5.Closing Stock &amp; W Capital'!$D$16))+(C125*'5.Closing Stock &amp; W Capital'!$D$16))*$C183*F$172</f>
        <v>0</v>
      </c>
      <c r="G183" s="162">
        <f>((E125*(1-'5.Closing Stock &amp; W Capital'!$D$16))+(D125*'5.Closing Stock &amp; W Capital'!$D$16))*$C183*G$172</f>
        <v>0</v>
      </c>
      <c r="H183" s="162">
        <f>((F125*(1-'5.Closing Stock &amp; W Capital'!$D$16))+(E125*'5.Closing Stock &amp; W Capital'!$D$16))*$C183*H$172</f>
        <v>0</v>
      </c>
      <c r="I183" s="162">
        <f>((G125*(1-'5.Closing Stock &amp; W Capital'!$D$16))+(F125*'5.Closing Stock &amp; W Capital'!$D$16))*$C183*I$172</f>
        <v>0</v>
      </c>
      <c r="J183" s="162">
        <f>((H125*(1-'5.Closing Stock &amp; W Capital'!$D$16))+(G125*'5.Closing Stock &amp; W Capital'!$D$16))*$C183*J$172</f>
        <v>0</v>
      </c>
      <c r="K183" s="78"/>
      <c r="L183" s="78"/>
    </row>
    <row r="184" spans="1:12" x14ac:dyDescent="0.2">
      <c r="A184" s="79" t="str">
        <f t="shared" si="32"/>
        <v>Okra</v>
      </c>
      <c r="B184" s="79" t="s">
        <v>349</v>
      </c>
      <c r="C184" s="219">
        <v>2000</v>
      </c>
      <c r="D184" s="162">
        <f>(B126*(1-'5.Closing Stock &amp; W Capital'!$D$16))*$C184*D$172</f>
        <v>0</v>
      </c>
      <c r="E184" s="162">
        <f>((C126*(1-'5.Closing Stock &amp; W Capital'!$D$16))+(B126*'5.Closing Stock &amp; W Capital'!$D$16))*$C184*E$172</f>
        <v>0</v>
      </c>
      <c r="F184" s="162">
        <f>((D126*(1-'5.Closing Stock &amp; W Capital'!$D$16))+(C126*'5.Closing Stock &amp; W Capital'!$D$16))*$C184*F$172</f>
        <v>0</v>
      </c>
      <c r="G184" s="162">
        <f>((E126*(1-'5.Closing Stock &amp; W Capital'!$D$16))+(D126*'5.Closing Stock &amp; W Capital'!$D$16))*$C184*G$172</f>
        <v>0</v>
      </c>
      <c r="H184" s="162">
        <f>((F126*(1-'5.Closing Stock &amp; W Capital'!$D$16))+(E126*'5.Closing Stock &amp; W Capital'!$D$16))*$C184*H$172</f>
        <v>0</v>
      </c>
      <c r="I184" s="162">
        <f>((G126*(1-'5.Closing Stock &amp; W Capital'!$D$16))+(F126*'5.Closing Stock &amp; W Capital'!$D$16))*$C184*I$172</f>
        <v>0</v>
      </c>
      <c r="J184" s="162">
        <f>((H126*(1-'5.Closing Stock &amp; W Capital'!$D$16))+(G126*'5.Closing Stock &amp; W Capital'!$D$16))*$C184*J$172</f>
        <v>0</v>
      </c>
      <c r="K184" s="78"/>
      <c r="L184" s="78"/>
    </row>
    <row r="185" spans="1:12" x14ac:dyDescent="0.2">
      <c r="A185" s="79" t="str">
        <f t="shared" si="32"/>
        <v>Chilli</v>
      </c>
      <c r="B185" s="79" t="s">
        <v>349</v>
      </c>
      <c r="C185" s="219"/>
      <c r="D185" s="162">
        <f>(B127*(1-'5.Closing Stock &amp; W Capital'!$D$16))*$C185*D$172</f>
        <v>0</v>
      </c>
      <c r="E185" s="162">
        <f>((C127*(1-'5.Closing Stock &amp; W Capital'!$D$16))+(B127*'5.Closing Stock &amp; W Capital'!$D$16))*$C185*E$172</f>
        <v>0</v>
      </c>
      <c r="F185" s="162">
        <f>((D127*(1-'5.Closing Stock &amp; W Capital'!$D$16))+(C127*'5.Closing Stock &amp; W Capital'!$D$16))*$C185*F$172</f>
        <v>0</v>
      </c>
      <c r="G185" s="162">
        <f>((E127*(1-'5.Closing Stock &amp; W Capital'!$D$16))+(D127*'5.Closing Stock &amp; W Capital'!$D$16))*$C185*G$172</f>
        <v>0</v>
      </c>
      <c r="H185" s="162">
        <f>((F127*(1-'5.Closing Stock &amp; W Capital'!$D$16))+(E127*'5.Closing Stock &amp; W Capital'!$D$16))*$C185*H$172</f>
        <v>0</v>
      </c>
      <c r="I185" s="162">
        <f>((G127*(1-'5.Closing Stock &amp; W Capital'!$D$16))+(F127*'5.Closing Stock &amp; W Capital'!$D$16))*$C185*I$172</f>
        <v>0</v>
      </c>
      <c r="J185" s="162">
        <f>((H127*(1-'5.Closing Stock &amp; W Capital'!$D$16))+(G127*'5.Closing Stock &amp; W Capital'!$D$16))*$C185*J$172</f>
        <v>0</v>
      </c>
      <c r="K185" s="78"/>
      <c r="L185" s="78"/>
    </row>
    <row r="186" spans="1:12" x14ac:dyDescent="0.2">
      <c r="A186" s="79" t="str">
        <f t="shared" si="32"/>
        <v>Potato</v>
      </c>
      <c r="B186" s="79" t="s">
        <v>349</v>
      </c>
      <c r="C186" s="219"/>
      <c r="D186" s="162">
        <f>(B128*(1-'5.Closing Stock &amp; W Capital'!$D$16))*$C186*D$172</f>
        <v>0</v>
      </c>
      <c r="E186" s="162">
        <f>((C128*(1-'5.Closing Stock &amp; W Capital'!$D$16))+(B128*'5.Closing Stock &amp; W Capital'!$D$16))*$C186*E$172</f>
        <v>0</v>
      </c>
      <c r="F186" s="162">
        <f>((D128*(1-'5.Closing Stock &amp; W Capital'!$D$16))+(C128*'5.Closing Stock &amp; W Capital'!$D$16))*$C186*F$172</f>
        <v>0</v>
      </c>
      <c r="G186" s="162">
        <f>((E128*(1-'5.Closing Stock &amp; W Capital'!$D$16))+(D128*'5.Closing Stock &amp; W Capital'!$D$16))*$C186*G$172</f>
        <v>0</v>
      </c>
      <c r="H186" s="162">
        <f>((F128*(1-'5.Closing Stock &amp; W Capital'!$D$16))+(E128*'5.Closing Stock &amp; W Capital'!$D$16))*$C186*H$172</f>
        <v>0</v>
      </c>
      <c r="I186" s="162">
        <f>((G128*(1-'5.Closing Stock &amp; W Capital'!$D$16))+(F128*'5.Closing Stock &amp; W Capital'!$D$16))*$C186*I$172</f>
        <v>0</v>
      </c>
      <c r="J186" s="162">
        <f>((H128*(1-'5.Closing Stock &amp; W Capital'!$D$16))+(G128*'5.Closing Stock &amp; W Capital'!$D$16))*$C186*J$172</f>
        <v>0</v>
      </c>
      <c r="K186" s="78"/>
      <c r="L186" s="78"/>
    </row>
    <row r="187" spans="1:12" x14ac:dyDescent="0.2">
      <c r="A187" s="79">
        <f t="shared" si="32"/>
        <v>0</v>
      </c>
      <c r="B187" s="79" t="s">
        <v>349</v>
      </c>
      <c r="C187" s="219"/>
      <c r="D187" s="162">
        <f>(B129*(1-'5.Closing Stock &amp; W Capital'!$D$16))*$C187*D$172</f>
        <v>0</v>
      </c>
      <c r="E187" s="162">
        <f>((C129*(1-'5.Closing Stock &amp; W Capital'!$D$16))+(B129*'5.Closing Stock &amp; W Capital'!$D$16))*$C187*E$172</f>
        <v>0</v>
      </c>
      <c r="F187" s="162">
        <f>((D129*(1-'5.Closing Stock &amp; W Capital'!$D$16))+(C129*'5.Closing Stock &amp; W Capital'!$D$16))*$C187*F$172</f>
        <v>0</v>
      </c>
      <c r="G187" s="162">
        <f>((E129*(1-'5.Closing Stock &amp; W Capital'!$D$16))+(D129*'5.Closing Stock &amp; W Capital'!$D$16))*$C187*G$172</f>
        <v>0</v>
      </c>
      <c r="H187" s="162">
        <f>((F129*(1-'5.Closing Stock &amp; W Capital'!$D$16))+(E129*'5.Closing Stock &amp; W Capital'!$D$16))*$C187*H$172</f>
        <v>0</v>
      </c>
      <c r="I187" s="162">
        <f>((G129*(1-'5.Closing Stock &amp; W Capital'!$D$16))+(F129*'5.Closing Stock &amp; W Capital'!$D$16))*$C187*I$172</f>
        <v>0</v>
      </c>
      <c r="J187" s="162">
        <f>((H129*(1-'5.Closing Stock &amp; W Capital'!$D$16))+(G129*'5.Closing Stock &amp; W Capital'!$D$16))*$C187*J$172</f>
        <v>0</v>
      </c>
      <c r="K187" s="78"/>
      <c r="L187" s="78"/>
    </row>
    <row r="188" spans="1:12" x14ac:dyDescent="0.2">
      <c r="A188" s="79">
        <f t="shared" si="32"/>
        <v>0</v>
      </c>
      <c r="B188" s="79" t="s">
        <v>349</v>
      </c>
      <c r="C188" s="219">
        <v>5000</v>
      </c>
      <c r="D188" s="162">
        <f>(B130*(1-'5.Closing Stock &amp; W Capital'!$D$16))*$C188*D$172</f>
        <v>0</v>
      </c>
      <c r="E188" s="162">
        <f>((C130*(1-'5.Closing Stock &amp; W Capital'!$D$16))+(B130*'5.Closing Stock &amp; W Capital'!$D$16))*$C188*E$172</f>
        <v>0</v>
      </c>
      <c r="F188" s="162">
        <f>((D130*(1-'5.Closing Stock &amp; W Capital'!$D$16))+(C130*'5.Closing Stock &amp; W Capital'!$D$16))*$C188*F$172</f>
        <v>0</v>
      </c>
      <c r="G188" s="162">
        <f>((E130*(1-'5.Closing Stock &amp; W Capital'!$D$16))+(D130*'5.Closing Stock &amp; W Capital'!$D$16))*$C188*G$172</f>
        <v>0</v>
      </c>
      <c r="H188" s="162">
        <f>((F130*(1-'5.Closing Stock &amp; W Capital'!$D$16))+(E130*'5.Closing Stock &amp; W Capital'!$D$16))*$C188*H$172</f>
        <v>0</v>
      </c>
      <c r="I188" s="162">
        <f>((G130*(1-'5.Closing Stock &amp; W Capital'!$D$16))+(F130*'5.Closing Stock &amp; W Capital'!$D$16))*$C188*I$172</f>
        <v>0</v>
      </c>
      <c r="J188" s="162">
        <f>((H130*(1-'5.Closing Stock &amp; W Capital'!$D$16))+(G130*'5.Closing Stock &amp; W Capital'!$D$16))*$C188*J$172</f>
        <v>0</v>
      </c>
      <c r="K188" s="78"/>
      <c r="L188" s="78"/>
    </row>
    <row r="189" spans="1:12" x14ac:dyDescent="0.2">
      <c r="A189" s="79">
        <f t="shared" si="32"/>
        <v>0</v>
      </c>
      <c r="B189" s="79" t="s">
        <v>349</v>
      </c>
      <c r="C189" s="219"/>
      <c r="D189" s="162">
        <f>(B131*(1-'5.Closing Stock &amp; W Capital'!$D$16))*$C189*D$172</f>
        <v>0</v>
      </c>
      <c r="E189" s="162">
        <f>((C131*(1-'5.Closing Stock &amp; W Capital'!$D$16))+(B131*'5.Closing Stock &amp; W Capital'!$D$16))*$C189*E$172</f>
        <v>0</v>
      </c>
      <c r="F189" s="162">
        <f>((D131*(1-'5.Closing Stock &amp; W Capital'!$D$16))+(C131*'5.Closing Stock &amp; W Capital'!$D$16))*$C189*F$172</f>
        <v>0</v>
      </c>
      <c r="G189" s="162">
        <f>((E131*(1-'5.Closing Stock &amp; W Capital'!$D$16))+(D131*'5.Closing Stock &amp; W Capital'!$D$16))*$C189*G$172</f>
        <v>0</v>
      </c>
      <c r="H189" s="162">
        <f>((F131*(1-'5.Closing Stock &amp; W Capital'!$D$16))+(E131*'5.Closing Stock &amp; W Capital'!$D$16))*$C189*H$172</f>
        <v>0</v>
      </c>
      <c r="I189" s="162">
        <f>((G131*(1-'5.Closing Stock &amp; W Capital'!$D$16))+(F131*'5.Closing Stock &amp; W Capital'!$D$16))*$C189*I$172</f>
        <v>0</v>
      </c>
      <c r="J189" s="162">
        <f>((H131*(1-'5.Closing Stock &amp; W Capital'!$D$16))+(G131*'5.Closing Stock &amp; W Capital'!$D$16))*$C189*J$172</f>
        <v>0</v>
      </c>
      <c r="K189" s="78"/>
      <c r="L189" s="78"/>
    </row>
    <row r="190" spans="1:12" x14ac:dyDescent="0.2">
      <c r="A190" s="79">
        <f t="shared" si="32"/>
        <v>0</v>
      </c>
      <c r="B190" s="79" t="s">
        <v>349</v>
      </c>
      <c r="C190" s="219"/>
      <c r="D190" s="162">
        <f>(B132*(1-'5.Closing Stock &amp; W Capital'!$D$16))*$C190*D$172</f>
        <v>0</v>
      </c>
      <c r="E190" s="162">
        <f>((C132*(1-'5.Closing Stock &amp; W Capital'!$D$16))+(B132*'5.Closing Stock &amp; W Capital'!$D$16))*$C190*E$172</f>
        <v>0</v>
      </c>
      <c r="F190" s="162">
        <f>((D132*(1-'5.Closing Stock &amp; W Capital'!$D$16))+(C132*'5.Closing Stock &amp; W Capital'!$D$16))*$C190*F$172</f>
        <v>0</v>
      </c>
      <c r="G190" s="162">
        <f>((E132*(1-'5.Closing Stock &amp; W Capital'!$D$16))+(D132*'5.Closing Stock &amp; W Capital'!$D$16))*$C190*G$172</f>
        <v>0</v>
      </c>
      <c r="H190" s="162">
        <f>((F132*(1-'5.Closing Stock &amp; W Capital'!$D$16))+(E132*'5.Closing Stock &amp; W Capital'!$D$16))*$C190*H$172</f>
        <v>0</v>
      </c>
      <c r="I190" s="162">
        <f>((G132*(1-'5.Closing Stock &amp; W Capital'!$D$16))+(F132*'5.Closing Stock &amp; W Capital'!$D$16))*$C190*I$172</f>
        <v>0</v>
      </c>
      <c r="J190" s="162">
        <f>((H132*(1-'5.Closing Stock &amp; W Capital'!$D$16))+(G132*'5.Closing Stock &amp; W Capital'!$D$16))*$C190*J$172</f>
        <v>0</v>
      </c>
      <c r="K190" s="78"/>
      <c r="L190" s="78"/>
    </row>
    <row r="191" spans="1:12" x14ac:dyDescent="0.2">
      <c r="A191" s="79" t="str">
        <f t="shared" si="32"/>
        <v>Onion</v>
      </c>
      <c r="B191" s="79" t="s">
        <v>349</v>
      </c>
      <c r="C191" s="219"/>
      <c r="D191" s="162">
        <f>(B133*(1-'5.Closing Stock &amp; W Capital'!$D$16))*$C191*D$172</f>
        <v>0</v>
      </c>
      <c r="E191" s="162">
        <f>((C133*(1-'5.Closing Stock &amp; W Capital'!$D$16))+(B133*'5.Closing Stock &amp; W Capital'!$D$16))*$C191*E$172</f>
        <v>0</v>
      </c>
      <c r="F191" s="162">
        <f>((D133*(1-'5.Closing Stock &amp; W Capital'!$D$16))+(C133*'5.Closing Stock &amp; W Capital'!$D$16))*$C191*F$172</f>
        <v>0</v>
      </c>
      <c r="G191" s="162">
        <f>((E133*(1-'5.Closing Stock &amp; W Capital'!$D$16))+(D133*'5.Closing Stock &amp; W Capital'!$D$16))*$C191*G$172</f>
        <v>0</v>
      </c>
      <c r="H191" s="162">
        <f>((F133*(1-'5.Closing Stock &amp; W Capital'!$D$16))+(E133*'5.Closing Stock &amp; W Capital'!$D$16))*$C191*H$172</f>
        <v>0</v>
      </c>
      <c r="I191" s="162">
        <f>((G133*(1-'5.Closing Stock &amp; W Capital'!$D$16))+(F133*'5.Closing Stock &amp; W Capital'!$D$16))*$C191*I$172</f>
        <v>0</v>
      </c>
      <c r="J191" s="162">
        <f>((H133*(1-'5.Closing Stock &amp; W Capital'!$D$16))+(G133*'5.Closing Stock &amp; W Capital'!$D$16))*$C191*J$172</f>
        <v>0</v>
      </c>
      <c r="K191" s="78"/>
      <c r="L191" s="78"/>
    </row>
    <row r="192" spans="1:12" x14ac:dyDescent="0.2">
      <c r="A192" s="79" t="str">
        <f t="shared" si="32"/>
        <v>Tomato</v>
      </c>
      <c r="B192" s="79" t="s">
        <v>349</v>
      </c>
      <c r="C192" s="219"/>
      <c r="D192" s="162">
        <f>(B134*(1-'5.Closing Stock &amp; W Capital'!$D$16))*$C192*D$172</f>
        <v>0</v>
      </c>
      <c r="E192" s="162">
        <f>((C134*(1-'5.Closing Stock &amp; W Capital'!$D$16))+(B134*'5.Closing Stock &amp; W Capital'!$D$16))*$C192*E$172</f>
        <v>0</v>
      </c>
      <c r="F192" s="162">
        <f>((D134*(1-'5.Closing Stock &amp; W Capital'!$D$16))+(C134*'5.Closing Stock &amp; W Capital'!$D$16))*$C192*F$172</f>
        <v>0</v>
      </c>
      <c r="G192" s="162">
        <f>((E134*(1-'5.Closing Stock &amp; W Capital'!$D$16))+(D134*'5.Closing Stock &amp; W Capital'!$D$16))*$C192*G$172</f>
        <v>0</v>
      </c>
      <c r="H192" s="162">
        <f>((F134*(1-'5.Closing Stock &amp; W Capital'!$D$16))+(E134*'5.Closing Stock &amp; W Capital'!$D$16))*$C192*H$172</f>
        <v>0</v>
      </c>
      <c r="I192" s="162">
        <f>((G134*(1-'5.Closing Stock &amp; W Capital'!$D$16))+(F134*'5.Closing Stock &amp; W Capital'!$D$16))*$C192*I$172</f>
        <v>0</v>
      </c>
      <c r="J192" s="162">
        <f>((H134*(1-'5.Closing Stock &amp; W Capital'!$D$16))+(G134*'5.Closing Stock &amp; W Capital'!$D$16))*$C192*J$172</f>
        <v>0</v>
      </c>
      <c r="K192" s="78"/>
      <c r="L192" s="78"/>
    </row>
    <row r="193" spans="1:12" x14ac:dyDescent="0.2">
      <c r="A193" s="79" t="str">
        <f t="shared" si="32"/>
        <v>Okra</v>
      </c>
      <c r="B193" s="79" t="s">
        <v>349</v>
      </c>
      <c r="C193" s="219"/>
      <c r="D193" s="162">
        <f>(B135*(1-'5.Closing Stock &amp; W Capital'!$D$16))*$C193*D$172</f>
        <v>0</v>
      </c>
      <c r="E193" s="162">
        <f>((C135*(1-'5.Closing Stock &amp; W Capital'!$D$16))+(B135*'5.Closing Stock &amp; W Capital'!$D$16))*$C193*E$172</f>
        <v>0</v>
      </c>
      <c r="F193" s="162">
        <f>((D135*(1-'5.Closing Stock &amp; W Capital'!$D$16))+(C135*'5.Closing Stock &amp; W Capital'!$D$16))*$C193*F$172</f>
        <v>0</v>
      </c>
      <c r="G193" s="162">
        <f>((E135*(1-'5.Closing Stock &amp; W Capital'!$D$16))+(D135*'5.Closing Stock &amp; W Capital'!$D$16))*$C193*G$172</f>
        <v>0</v>
      </c>
      <c r="H193" s="162">
        <f>((F135*(1-'5.Closing Stock &amp; W Capital'!$D$16))+(E135*'5.Closing Stock &amp; W Capital'!$D$16))*$C193*H$172</f>
        <v>0</v>
      </c>
      <c r="I193" s="162">
        <f>((G135*(1-'5.Closing Stock &amp; W Capital'!$D$16))+(F135*'5.Closing Stock &amp; W Capital'!$D$16))*$C193*I$172</f>
        <v>0</v>
      </c>
      <c r="J193" s="162">
        <f>((H135*(1-'5.Closing Stock &amp; W Capital'!$D$16))+(G135*'5.Closing Stock &amp; W Capital'!$D$16))*$C193*J$172</f>
        <v>0</v>
      </c>
      <c r="K193" s="78"/>
      <c r="L193" s="78"/>
    </row>
    <row r="194" spans="1:12" x14ac:dyDescent="0.2">
      <c r="A194" s="79" t="str">
        <f t="shared" si="32"/>
        <v>Chilli</v>
      </c>
      <c r="B194" s="79" t="s">
        <v>349</v>
      </c>
      <c r="C194" s="219"/>
      <c r="D194" s="162">
        <f>(B136*(1-'5.Closing Stock &amp; W Capital'!$D$16))*$C194*D$172</f>
        <v>0</v>
      </c>
      <c r="E194" s="162">
        <f>((C136*(1-'5.Closing Stock &amp; W Capital'!$D$16))+(B136*'5.Closing Stock &amp; W Capital'!$D$16))*$C194*E$172</f>
        <v>0</v>
      </c>
      <c r="F194" s="162">
        <f>((D136*(1-'5.Closing Stock &amp; W Capital'!$D$16))+(C136*'5.Closing Stock &amp; W Capital'!$D$16))*$C194*F$172</f>
        <v>0</v>
      </c>
      <c r="G194" s="162">
        <f>((E136*(1-'5.Closing Stock &amp; W Capital'!$D$16))+(D136*'5.Closing Stock &amp; W Capital'!$D$16))*$C194*G$172</f>
        <v>0</v>
      </c>
      <c r="H194" s="162">
        <f>((F136*(1-'5.Closing Stock &amp; W Capital'!$D$16))+(E136*'5.Closing Stock &amp; W Capital'!$D$16))*$C194*H$172</f>
        <v>0</v>
      </c>
      <c r="I194" s="162">
        <f>((G136*(1-'5.Closing Stock &amp; W Capital'!$D$16))+(F136*'5.Closing Stock &amp; W Capital'!$D$16))*$C194*I$172</f>
        <v>0</v>
      </c>
      <c r="J194" s="162">
        <f>((H136*(1-'5.Closing Stock &amp; W Capital'!$D$16))+(G136*'5.Closing Stock &amp; W Capital'!$D$16))*$C194*J$172</f>
        <v>0</v>
      </c>
      <c r="K194" s="78"/>
      <c r="L194" s="78"/>
    </row>
    <row r="195" spans="1:12" x14ac:dyDescent="0.2">
      <c r="A195" s="79" t="str">
        <f t="shared" si="32"/>
        <v>Brinjal</v>
      </c>
      <c r="B195" s="79" t="s">
        <v>349</v>
      </c>
      <c r="C195" s="219"/>
      <c r="D195" s="162">
        <f>(B137*(1-'5.Closing Stock &amp; W Capital'!$D$16))*$C195*D$172</f>
        <v>0</v>
      </c>
      <c r="E195" s="162">
        <f>((C137*(1-'5.Closing Stock &amp; W Capital'!$D$16))+(B137*'5.Closing Stock &amp; W Capital'!$D$16))*$C195*E$172</f>
        <v>0</v>
      </c>
      <c r="F195" s="162">
        <f>((D137*(1-'5.Closing Stock &amp; W Capital'!$D$16))+(C137*'5.Closing Stock &amp; W Capital'!$D$16))*$C195*F$172</f>
        <v>0</v>
      </c>
      <c r="G195" s="162">
        <f>((E137*(1-'5.Closing Stock &amp; W Capital'!$D$16))+(D137*'5.Closing Stock &amp; W Capital'!$D$16))*$C195*G$172</f>
        <v>0</v>
      </c>
      <c r="H195" s="162">
        <f>((F137*(1-'5.Closing Stock &amp; W Capital'!$D$16))+(E137*'5.Closing Stock &amp; W Capital'!$D$16))*$C195*H$172</f>
        <v>0</v>
      </c>
      <c r="I195" s="162">
        <f>((G137*(1-'5.Closing Stock &amp; W Capital'!$D$16))+(F137*'5.Closing Stock &amp; W Capital'!$D$16))*$C195*I$172</f>
        <v>0</v>
      </c>
      <c r="J195" s="162">
        <f>((H137*(1-'5.Closing Stock &amp; W Capital'!$D$16))+(G137*'5.Closing Stock &amp; W Capital'!$D$16))*$C195*J$172</f>
        <v>0</v>
      </c>
      <c r="K195" s="78"/>
      <c r="L195" s="78"/>
    </row>
    <row r="196" spans="1:12" x14ac:dyDescent="0.2">
      <c r="A196" s="79">
        <f t="shared" si="32"/>
        <v>0</v>
      </c>
      <c r="B196" s="79" t="s">
        <v>349</v>
      </c>
      <c r="C196" s="219"/>
      <c r="D196" s="162">
        <f>(B138*(1-'5.Closing Stock &amp; W Capital'!$D$16))*$C196*D$172</f>
        <v>0</v>
      </c>
      <c r="E196" s="162">
        <f>((C138*(1-'5.Closing Stock &amp; W Capital'!$D$16))+(B138*'5.Closing Stock &amp; W Capital'!$D$16))*$C196*E$172</f>
        <v>0</v>
      </c>
      <c r="F196" s="162">
        <f>((D138*(1-'5.Closing Stock &amp; W Capital'!$D$16))+(C138*'5.Closing Stock &amp; W Capital'!$D$16))*$C196*F$172</f>
        <v>0</v>
      </c>
      <c r="G196" s="162">
        <f>((E138*(1-'5.Closing Stock &amp; W Capital'!$D$16))+(D138*'5.Closing Stock &amp; W Capital'!$D$16))*$C196*G$172</f>
        <v>0</v>
      </c>
      <c r="H196" s="162">
        <f>((F138*(1-'5.Closing Stock &amp; W Capital'!$D$16))+(E138*'5.Closing Stock &amp; W Capital'!$D$16))*$C196*H$172</f>
        <v>0</v>
      </c>
      <c r="I196" s="162">
        <f>((G138*(1-'5.Closing Stock &amp; W Capital'!$D$16))+(F138*'5.Closing Stock &amp; W Capital'!$D$16))*$C196*I$172</f>
        <v>0</v>
      </c>
      <c r="J196" s="162">
        <f>((H138*(1-'5.Closing Stock &amp; W Capital'!$D$16))+(G138*'5.Closing Stock &amp; W Capital'!$D$16))*$C196*J$172</f>
        <v>0</v>
      </c>
      <c r="K196" s="78"/>
      <c r="L196" s="78"/>
    </row>
    <row r="197" spans="1:12" x14ac:dyDescent="0.2">
      <c r="A197" s="79">
        <f t="shared" si="32"/>
        <v>0</v>
      </c>
      <c r="B197" s="79" t="s">
        <v>349</v>
      </c>
      <c r="C197" s="219"/>
      <c r="D197" s="162">
        <f>(B139*(1-'5.Closing Stock &amp; W Capital'!$D$16))*$C197*D$172</f>
        <v>0</v>
      </c>
      <c r="E197" s="162">
        <f>((C139*(1-'5.Closing Stock &amp; W Capital'!$D$16))+(B139*'5.Closing Stock &amp; W Capital'!$D$16))*$C197*E$172</f>
        <v>0</v>
      </c>
      <c r="F197" s="162">
        <f>((D139*(1-'5.Closing Stock &amp; W Capital'!$D$16))+(C139*'5.Closing Stock &amp; W Capital'!$D$16))*$C197*F$172</f>
        <v>0</v>
      </c>
      <c r="G197" s="162">
        <f>((E139*(1-'5.Closing Stock &amp; W Capital'!$D$16))+(D139*'5.Closing Stock &amp; W Capital'!$D$16))*$C197*G$172</f>
        <v>0</v>
      </c>
      <c r="H197" s="162">
        <f>((F139*(1-'5.Closing Stock &amp; W Capital'!$D$16))+(E139*'5.Closing Stock &amp; W Capital'!$D$16))*$C197*H$172</f>
        <v>0</v>
      </c>
      <c r="I197" s="162">
        <f>((G139*(1-'5.Closing Stock &amp; W Capital'!$D$16))+(F139*'5.Closing Stock &amp; W Capital'!$D$16))*$C197*I$172</f>
        <v>0</v>
      </c>
      <c r="J197" s="162">
        <f>((H139*(1-'5.Closing Stock &amp; W Capital'!$D$16))+(G139*'5.Closing Stock &amp; W Capital'!$D$16))*$C197*J$172</f>
        <v>0</v>
      </c>
      <c r="K197" s="78"/>
      <c r="L197" s="78"/>
    </row>
    <row r="198" spans="1:12" x14ac:dyDescent="0.2">
      <c r="A198" s="79">
        <f t="shared" si="32"/>
        <v>0</v>
      </c>
      <c r="B198" s="79" t="s">
        <v>349</v>
      </c>
      <c r="C198" s="219"/>
      <c r="D198" s="162">
        <f>(B140*(1-'5.Closing Stock &amp; W Capital'!$D$16))*$C198*D$172</f>
        <v>0</v>
      </c>
      <c r="E198" s="162">
        <f>((C140*(1-'5.Closing Stock &amp; W Capital'!$D$16))+(B140*'5.Closing Stock &amp; W Capital'!$D$16))*$C198*E$172</f>
        <v>0</v>
      </c>
      <c r="F198" s="162">
        <f>((D140*(1-'5.Closing Stock &amp; W Capital'!$D$16))+(C140*'5.Closing Stock &amp; W Capital'!$D$16))*$C198*F$172</f>
        <v>0</v>
      </c>
      <c r="G198" s="162">
        <f>((E140*(1-'5.Closing Stock &amp; W Capital'!$D$16))+(D140*'5.Closing Stock &amp; W Capital'!$D$16))*$C198*G$172</f>
        <v>0</v>
      </c>
      <c r="H198" s="162">
        <f>((F140*(1-'5.Closing Stock &amp; W Capital'!$D$16))+(E140*'5.Closing Stock &amp; W Capital'!$D$16))*$C198*H$172</f>
        <v>0</v>
      </c>
      <c r="I198" s="162">
        <f>((G140*(1-'5.Closing Stock &amp; W Capital'!$D$16))+(F140*'5.Closing Stock &amp; W Capital'!$D$16))*$C198*I$172</f>
        <v>0</v>
      </c>
      <c r="J198" s="162">
        <f>((H140*(1-'5.Closing Stock &amp; W Capital'!$D$16))+(G140*'5.Closing Stock &amp; W Capital'!$D$16))*$C198*J$172</f>
        <v>0</v>
      </c>
      <c r="K198" s="78"/>
      <c r="L198" s="78"/>
    </row>
    <row r="199" spans="1:12" x14ac:dyDescent="0.2">
      <c r="A199" s="79"/>
      <c r="B199" s="79" t="s">
        <v>349</v>
      </c>
      <c r="C199" s="219"/>
      <c r="D199" s="162">
        <f>(B141*(1-'5.Closing Stock &amp; W Capital'!$D$16))*$C199*D$172</f>
        <v>0</v>
      </c>
      <c r="E199" s="162">
        <f>((C141*(1-'5.Closing Stock &amp; W Capital'!$D$16))+(B141*'5.Closing Stock &amp; W Capital'!$D$16))*$C199*E$172</f>
        <v>0</v>
      </c>
      <c r="F199" s="162">
        <f>((D141*(1-'5.Closing Stock &amp; W Capital'!$D$16))+(C141*'5.Closing Stock &amp; W Capital'!$D$16))*$C199*F$172</f>
        <v>0</v>
      </c>
      <c r="G199" s="162">
        <f>((E141*(1-'5.Closing Stock &amp; W Capital'!$D$16))+(D141*'5.Closing Stock &amp; W Capital'!$D$16))*$C199*G$172</f>
        <v>0</v>
      </c>
      <c r="H199" s="162">
        <f>((F141*(1-'5.Closing Stock &amp; W Capital'!$D$16))+(E141*'5.Closing Stock &amp; W Capital'!$D$16))*$C199*H$172</f>
        <v>0</v>
      </c>
      <c r="I199" s="162">
        <f>((G141*(1-'5.Closing Stock &amp; W Capital'!$D$16))+(F141*'5.Closing Stock &amp; W Capital'!$D$16))*$C199*I$172</f>
        <v>0</v>
      </c>
      <c r="J199" s="162">
        <f>((H141*(1-'5.Closing Stock &amp; W Capital'!$D$16))+(G141*'5.Closing Stock &amp; W Capital'!$D$16))*$C199*J$172</f>
        <v>0</v>
      </c>
      <c r="K199" s="78"/>
      <c r="L199" s="78"/>
    </row>
    <row r="200" spans="1:12" x14ac:dyDescent="0.2">
      <c r="A200" s="81" t="s">
        <v>283</v>
      </c>
      <c r="B200" s="79" t="s">
        <v>349</v>
      </c>
      <c r="C200" s="197">
        <v>50</v>
      </c>
      <c r="D200" s="162">
        <f t="shared" ref="D200:J200" si="33">B65*$C$200*D172</f>
        <v>8.75</v>
      </c>
      <c r="E200" s="162">
        <f t="shared" si="33"/>
        <v>10.5</v>
      </c>
      <c r="F200" s="162">
        <f t="shared" si="33"/>
        <v>12.403124999999999</v>
      </c>
      <c r="G200" s="162">
        <f t="shared" si="33"/>
        <v>14.4703125</v>
      </c>
      <c r="H200" s="162">
        <f t="shared" si="33"/>
        <v>16.713210937500001</v>
      </c>
      <c r="I200" s="162">
        <f t="shared" si="33"/>
        <v>19.144223437500006</v>
      </c>
      <c r="J200" s="162">
        <f t="shared" si="33"/>
        <v>21.776554160156255</v>
      </c>
      <c r="K200" s="78"/>
      <c r="L200" s="78"/>
    </row>
    <row r="201" spans="1:12" x14ac:dyDescent="0.2">
      <c r="A201" s="81"/>
      <c r="B201" s="81"/>
      <c r="C201" s="81"/>
      <c r="D201" s="79"/>
      <c r="E201" s="79"/>
      <c r="F201" s="79"/>
      <c r="G201" s="79"/>
      <c r="H201" s="79"/>
      <c r="I201" s="79"/>
      <c r="J201" s="79"/>
      <c r="K201" s="78"/>
      <c r="L201" s="78"/>
    </row>
    <row r="202" spans="1:12" x14ac:dyDescent="0.2">
      <c r="A202" s="81" t="str">
        <f t="shared" ref="A202:A220" si="34">A143</f>
        <v>10 Grain Crop Production Details</v>
      </c>
      <c r="B202" s="81"/>
      <c r="C202" s="81"/>
      <c r="D202" s="79"/>
      <c r="E202" s="79"/>
      <c r="F202" s="79"/>
      <c r="G202" s="79"/>
      <c r="H202" s="79"/>
      <c r="I202" s="79"/>
      <c r="J202" s="79"/>
      <c r="K202" s="78"/>
      <c r="L202" s="78"/>
    </row>
    <row r="203" spans="1:12" x14ac:dyDescent="0.2">
      <c r="A203" s="81" t="str">
        <f t="shared" si="34"/>
        <v xml:space="preserve">Flax Seed </v>
      </c>
      <c r="B203" s="79" t="s">
        <v>349</v>
      </c>
      <c r="C203" s="291">
        <v>2000</v>
      </c>
      <c r="D203" s="162">
        <f>(B144*(1-'5.Closing Stock &amp; W Capital'!$D$16))*$C203*D$172</f>
        <v>-2154600</v>
      </c>
      <c r="E203" s="162">
        <f>((C144*(1-'5.Closing Stock &amp; W Capital'!$D$16))+(B144*'5.Closing Stock &amp; W Capital'!$D$16))*$C203*E$172</f>
        <v>-89775</v>
      </c>
      <c r="F203" s="162">
        <f>((D144*(1-'5.Closing Stock &amp; W Capital'!$D$16))+(C144*'5.Closing Stock &amp; W Capital'!$D$16))*$C203*F$172</f>
        <v>-75411.000000000611</v>
      </c>
      <c r="G203" s="162">
        <f>((E144*(1-'5.Closing Stock &amp; W Capital'!$D$16))+(D144*'5.Closing Stock &amp; W Capital'!$D$16))*$C203*G$172</f>
        <v>-59386.162500000217</v>
      </c>
      <c r="H203" s="162">
        <f>((F144*(1-'5.Closing Stock &amp; W Capital'!$D$16))+(E144*'5.Closing Stock &amp; W Capital'!$D$16))*$C203*H$172</f>
        <v>-41570.31374999979</v>
      </c>
      <c r="I203" s="162">
        <f>((G144*(1-'5.Closing Stock &amp; W Capital'!$D$16))+(F144*'5.Closing Stock &amp; W Capital'!$D$16))*$C203*I$172</f>
        <v>-21824.414718749889</v>
      </c>
      <c r="J203" s="162">
        <f>((H144*(1-'5.Closing Stock &amp; W Capital'!$D$16))+(G144*'5.Closing Stock &amp; W Capital'!$D$16))*$C203*J$172</f>
        <v>-1.218809885017436E-9</v>
      </c>
      <c r="K203" s="78"/>
      <c r="L203" s="78"/>
    </row>
    <row r="204" spans="1:12" x14ac:dyDescent="0.2">
      <c r="A204" s="81" t="e">
        <f t="shared" si="34"/>
        <v>#REF!</v>
      </c>
      <c r="B204" s="79" t="s">
        <v>349</v>
      </c>
      <c r="C204" s="219">
        <v>1000</v>
      </c>
      <c r="D204" s="162" t="e">
        <f>(B145*(1-'5.Closing Stock &amp; W Capital'!$D$16))*$C204*D$172</f>
        <v>#REF!</v>
      </c>
      <c r="E204" s="162" t="e">
        <f>((C145*(1-'5.Closing Stock &amp; W Capital'!$D$16))+(B145*'5.Closing Stock &amp; W Capital'!$D$16))*$C204*E$172</f>
        <v>#REF!</v>
      </c>
      <c r="F204" s="162" t="e">
        <f>((D145*(1-'5.Closing Stock &amp; W Capital'!$D$16))+(C145*'5.Closing Stock &amp; W Capital'!$D$16))*$C204*F$172</f>
        <v>#REF!</v>
      </c>
      <c r="G204" s="162" t="e">
        <f>((E145*(1-'5.Closing Stock &amp; W Capital'!$D$16))+(D145*'5.Closing Stock &amp; W Capital'!$D$16))*$C204*G$172</f>
        <v>#REF!</v>
      </c>
      <c r="H204" s="162" t="e">
        <f>((F145*(1-'5.Closing Stock &amp; W Capital'!$D$16))+(E145*'5.Closing Stock &amp; W Capital'!$D$16))*$C204*H$172</f>
        <v>#REF!</v>
      </c>
      <c r="I204" s="162" t="e">
        <f>((G145*(1-'5.Closing Stock &amp; W Capital'!$D$16))+(F145*'5.Closing Stock &amp; W Capital'!$D$16))*$C204*I$172</f>
        <v>#REF!</v>
      </c>
      <c r="J204" s="162" t="e">
        <f>((H145*(1-'5.Closing Stock &amp; W Capital'!$D$16))+(G145*'5.Closing Stock &amp; W Capital'!$D$16))*$C204*J$172</f>
        <v>#REF!</v>
      </c>
      <c r="K204" s="78"/>
      <c r="L204" s="78"/>
    </row>
    <row r="205" spans="1:12" x14ac:dyDescent="0.2">
      <c r="A205" s="81" t="e">
        <f t="shared" si="34"/>
        <v>#REF!</v>
      </c>
      <c r="B205" s="79" t="s">
        <v>349</v>
      </c>
      <c r="C205" s="219">
        <v>1500</v>
      </c>
      <c r="D205" s="162" t="e">
        <f>(B146*(1-'5.Closing Stock &amp; W Capital'!$D$16))*$C205*D$172</f>
        <v>#REF!</v>
      </c>
      <c r="E205" s="162" t="e">
        <f>((C146*(1-'5.Closing Stock &amp; W Capital'!$D$16))+(B146*'5.Closing Stock &amp; W Capital'!$D$16))*$C205*E$172</f>
        <v>#REF!</v>
      </c>
      <c r="F205" s="162" t="e">
        <f>((D146*(1-'5.Closing Stock &amp; W Capital'!$D$16))+(C146*'5.Closing Stock &amp; W Capital'!$D$16))*$C205*F$172</f>
        <v>#REF!</v>
      </c>
      <c r="G205" s="162" t="e">
        <f>((E146*(1-'5.Closing Stock &amp; W Capital'!$D$16))+(D146*'5.Closing Stock &amp; W Capital'!$D$16))*$C205*G$172</f>
        <v>#REF!</v>
      </c>
      <c r="H205" s="162" t="e">
        <f>((F146*(1-'5.Closing Stock &amp; W Capital'!$D$16))+(E146*'5.Closing Stock &amp; W Capital'!$D$16))*$C205*H$172</f>
        <v>#REF!</v>
      </c>
      <c r="I205" s="162" t="e">
        <f>((G146*(1-'5.Closing Stock &amp; W Capital'!$D$16))+(F146*'5.Closing Stock &amp; W Capital'!$D$16))*$C205*I$172</f>
        <v>#REF!</v>
      </c>
      <c r="J205" s="162" t="e">
        <f>((H146*(1-'5.Closing Stock &amp; W Capital'!$D$16))+(G146*'5.Closing Stock &amp; W Capital'!$D$16))*$C205*J$172</f>
        <v>#REF!</v>
      </c>
      <c r="K205" s="78"/>
      <c r="L205" s="78"/>
    </row>
    <row r="206" spans="1:12" x14ac:dyDescent="0.2">
      <c r="A206" s="81" t="str">
        <f t="shared" si="34"/>
        <v>Safflower</v>
      </c>
      <c r="B206" s="79" t="s">
        <v>349</v>
      </c>
      <c r="C206" s="219">
        <v>3000</v>
      </c>
      <c r="D206" s="162">
        <f>(B147*(1-'5.Closing Stock &amp; W Capital'!$D$16))*$C206*D$172</f>
        <v>-1615950</v>
      </c>
      <c r="E206" s="162">
        <f>((C147*(1-'5.Closing Stock &amp; W Capital'!$D$16))+(B147*'5.Closing Stock &amp; W Capital'!$D$16))*$C206*E$172</f>
        <v>-67331.25</v>
      </c>
      <c r="F206" s="162">
        <f>((D147*(1-'5.Closing Stock &amp; W Capital'!$D$16))+(C147*'5.Closing Stock &amp; W Capital'!$D$16))*$C206*F$172</f>
        <v>-56558.250000000451</v>
      </c>
      <c r="G206" s="162">
        <f>((E147*(1-'5.Closing Stock &amp; W Capital'!$D$16))+(D147*'5.Closing Stock &amp; W Capital'!$D$16))*$C206*G$172</f>
        <v>-44539.621875000164</v>
      </c>
      <c r="H206" s="162">
        <f>((F147*(1-'5.Closing Stock &amp; W Capital'!$D$16))+(E147*'5.Closing Stock &amp; W Capital'!$D$16))*$C206*H$172</f>
        <v>-31177.735312499837</v>
      </c>
      <c r="I206" s="162">
        <f>((G147*(1-'5.Closing Stock &amp; W Capital'!$D$16))+(F147*'5.Closing Stock &amp; W Capital'!$D$16))*$C206*I$172</f>
        <v>-16368.311039062417</v>
      </c>
      <c r="J206" s="162">
        <f>((H147*(1-'5.Closing Stock &amp; W Capital'!$D$16))+(G147*'5.Closing Stock &amp; W Capital'!$D$16))*$C206*J$172</f>
        <v>-9.1410741376307694E-10</v>
      </c>
      <c r="K206" s="78"/>
      <c r="L206" s="78"/>
    </row>
    <row r="207" spans="1:12" x14ac:dyDescent="0.2">
      <c r="A207" s="81" t="e">
        <f t="shared" si="34"/>
        <v>#REF!</v>
      </c>
      <c r="B207" s="79" t="s">
        <v>349</v>
      </c>
      <c r="C207" s="219">
        <v>1500</v>
      </c>
      <c r="D207" s="162" t="e">
        <f>(B148*(1-'5.Closing Stock &amp; W Capital'!$D$16))*$C207*D$172</f>
        <v>#REF!</v>
      </c>
      <c r="E207" s="162" t="e">
        <f>((C148*(1-'5.Closing Stock &amp; W Capital'!$D$16))+(B148*'5.Closing Stock &amp; W Capital'!$D$16))*$C207*E$172</f>
        <v>#REF!</v>
      </c>
      <c r="F207" s="162" t="e">
        <f>((D148*(1-'5.Closing Stock &amp; W Capital'!$D$16))+(C148*'5.Closing Stock &amp; W Capital'!$D$16))*$C207*F$172</f>
        <v>#REF!</v>
      </c>
      <c r="G207" s="162" t="e">
        <f>((E148*(1-'5.Closing Stock &amp; W Capital'!$D$16))+(D148*'5.Closing Stock &amp; W Capital'!$D$16))*$C207*G$172</f>
        <v>#REF!</v>
      </c>
      <c r="H207" s="162" t="e">
        <f>((F148*(1-'5.Closing Stock &amp; W Capital'!$D$16))+(E148*'5.Closing Stock &amp; W Capital'!$D$16))*$C207*H$172</f>
        <v>#REF!</v>
      </c>
      <c r="I207" s="162" t="e">
        <f>((G148*(1-'5.Closing Stock &amp; W Capital'!$D$16))+(F148*'5.Closing Stock &amp; W Capital'!$D$16))*$C207*I$172</f>
        <v>#REF!</v>
      </c>
      <c r="J207" s="162" t="e">
        <f>((H148*(1-'5.Closing Stock &amp; W Capital'!$D$16))+(G148*'5.Closing Stock &amp; W Capital'!$D$16))*$C207*J$172</f>
        <v>#REF!</v>
      </c>
      <c r="K207" s="78"/>
      <c r="L207" s="78"/>
    </row>
    <row r="208" spans="1:12" x14ac:dyDescent="0.2">
      <c r="A208" s="81" t="e">
        <f t="shared" si="34"/>
        <v>#REF!</v>
      </c>
      <c r="B208" s="79" t="s">
        <v>349</v>
      </c>
      <c r="C208" s="197"/>
      <c r="D208" s="162" t="e">
        <f>(B149*(1-'5.Closing Stock &amp; W Capital'!$D$16))*$C208*D$172</f>
        <v>#REF!</v>
      </c>
      <c r="E208" s="162" t="e">
        <f>((C149*(1-'5.Closing Stock &amp; W Capital'!$D$16))+(B149*'5.Closing Stock &amp; W Capital'!$D$16))*$C208*E$172</f>
        <v>#REF!</v>
      </c>
      <c r="F208" s="162" t="e">
        <f>((D149*(1-'5.Closing Stock &amp; W Capital'!$D$16))+(C149*'5.Closing Stock &amp; W Capital'!$D$16))*$C208*F$172</f>
        <v>#REF!</v>
      </c>
      <c r="G208" s="162" t="e">
        <f>((E149*(1-'5.Closing Stock &amp; W Capital'!$D$16))+(D149*'5.Closing Stock &amp; W Capital'!$D$16))*$C208*G$172</f>
        <v>#REF!</v>
      </c>
      <c r="H208" s="162" t="e">
        <f>((F149*(1-'5.Closing Stock &amp; W Capital'!$D$16))+(E149*'5.Closing Stock &amp; W Capital'!$D$16))*$C208*H$172</f>
        <v>#REF!</v>
      </c>
      <c r="I208" s="162" t="e">
        <f>((G149*(1-'5.Closing Stock &amp; W Capital'!$D$16))+(F149*'5.Closing Stock &amp; W Capital'!$D$16))*$C208*I$172</f>
        <v>#REF!</v>
      </c>
      <c r="J208" s="162" t="e">
        <f>((H149*(1-'5.Closing Stock &amp; W Capital'!$D$16))+(G149*'5.Closing Stock &amp; W Capital'!$D$16))*$C208*J$172</f>
        <v>#REF!</v>
      </c>
      <c r="K208" s="78"/>
      <c r="L208" s="78"/>
    </row>
    <row r="209" spans="1:12" x14ac:dyDescent="0.2">
      <c r="A209" s="81" t="e">
        <f t="shared" si="34"/>
        <v>#REF!</v>
      </c>
      <c r="B209" s="79" t="s">
        <v>349</v>
      </c>
      <c r="C209" s="197"/>
      <c r="D209" s="162" t="e">
        <f>(B150*(1-'5.Closing Stock &amp; W Capital'!$D$16))*$C209*D$172</f>
        <v>#REF!</v>
      </c>
      <c r="E209" s="162" t="e">
        <f>((C150*(1-'5.Closing Stock &amp; W Capital'!$D$16))+(B150*'5.Closing Stock &amp; W Capital'!$D$16))*$C209*E$172</f>
        <v>#REF!</v>
      </c>
      <c r="F209" s="162" t="e">
        <f>((D150*(1-'5.Closing Stock &amp; W Capital'!$D$16))+(C150*'5.Closing Stock &amp; W Capital'!$D$16))*$C209*F$172</f>
        <v>#REF!</v>
      </c>
      <c r="G209" s="162" t="e">
        <f>((E150*(1-'5.Closing Stock &amp; W Capital'!$D$16))+(D150*'5.Closing Stock &amp; W Capital'!$D$16))*$C209*G$172</f>
        <v>#REF!</v>
      </c>
      <c r="H209" s="162" t="e">
        <f>((F150*(1-'5.Closing Stock &amp; W Capital'!$D$16))+(E150*'5.Closing Stock &amp; W Capital'!$D$16))*$C209*H$172</f>
        <v>#REF!</v>
      </c>
      <c r="I209" s="162" t="e">
        <f>((G150*(1-'5.Closing Stock &amp; W Capital'!$D$16))+(F150*'5.Closing Stock &amp; W Capital'!$D$16))*$C209*I$172</f>
        <v>#REF!</v>
      </c>
      <c r="J209" s="162" t="e">
        <f>((H150*(1-'5.Closing Stock &amp; W Capital'!$D$16))+(G150*'5.Closing Stock &amp; W Capital'!$D$16))*$C209*J$172</f>
        <v>#REF!</v>
      </c>
      <c r="K209" s="78"/>
      <c r="L209" s="78"/>
    </row>
    <row r="210" spans="1:12" x14ac:dyDescent="0.2">
      <c r="A210" s="81" t="e">
        <f t="shared" si="34"/>
        <v>#REF!</v>
      </c>
      <c r="B210" s="79" t="s">
        <v>349</v>
      </c>
      <c r="C210" s="197"/>
      <c r="D210" s="162" t="e">
        <f>(B151*(1-'5.Closing Stock &amp; W Capital'!$D$16))*$C210*D$172</f>
        <v>#REF!</v>
      </c>
      <c r="E210" s="162" t="e">
        <f>((C151*(1-'5.Closing Stock &amp; W Capital'!$D$16))+(B151*'5.Closing Stock &amp; W Capital'!$D$16))*$C210*E$172</f>
        <v>#REF!</v>
      </c>
      <c r="F210" s="162" t="e">
        <f>((D151*(1-'5.Closing Stock &amp; W Capital'!$D$16))+(C151*'5.Closing Stock &amp; W Capital'!$D$16))*$C210*F$172</f>
        <v>#REF!</v>
      </c>
      <c r="G210" s="162" t="e">
        <f>((E151*(1-'5.Closing Stock &amp; W Capital'!$D$16))+(D151*'5.Closing Stock &amp; W Capital'!$D$16))*$C210*G$172</f>
        <v>#REF!</v>
      </c>
      <c r="H210" s="162" t="e">
        <f>((F151*(1-'5.Closing Stock &amp; W Capital'!$D$16))+(E151*'5.Closing Stock &amp; W Capital'!$D$16))*$C210*H$172</f>
        <v>#REF!</v>
      </c>
      <c r="I210" s="162" t="e">
        <f>((G151*(1-'5.Closing Stock &amp; W Capital'!$D$16))+(F151*'5.Closing Stock &amp; W Capital'!$D$16))*$C210*I$172</f>
        <v>#REF!</v>
      </c>
      <c r="J210" s="162" t="e">
        <f>((H151*(1-'5.Closing Stock &amp; W Capital'!$D$16))+(G151*'5.Closing Stock &amp; W Capital'!$D$16))*$C210*J$172</f>
        <v>#REF!</v>
      </c>
      <c r="K210" s="78"/>
      <c r="L210" s="78"/>
    </row>
    <row r="211" spans="1:12" x14ac:dyDescent="0.2">
      <c r="A211" s="81" t="e">
        <f t="shared" si="34"/>
        <v>#REF!</v>
      </c>
      <c r="B211" s="79" t="s">
        <v>349</v>
      </c>
      <c r="C211" s="197"/>
      <c r="D211" s="162" t="e">
        <f>(B152*(1-'5.Closing Stock &amp; W Capital'!$D$16))*$C211*D$172</f>
        <v>#REF!</v>
      </c>
      <c r="E211" s="162" t="e">
        <f>((C152*(1-'5.Closing Stock &amp; W Capital'!$D$16))+(B152*'5.Closing Stock &amp; W Capital'!$D$16))*$C211*E$172</f>
        <v>#REF!</v>
      </c>
      <c r="F211" s="162" t="e">
        <f>((D152*(1-'5.Closing Stock &amp; W Capital'!$D$16))+(C152*'5.Closing Stock &amp; W Capital'!$D$16))*$C211*F$172</f>
        <v>#REF!</v>
      </c>
      <c r="G211" s="162" t="e">
        <f>((E152*(1-'5.Closing Stock &amp; W Capital'!$D$16))+(D152*'5.Closing Stock &amp; W Capital'!$D$16))*$C211*G$172</f>
        <v>#REF!</v>
      </c>
      <c r="H211" s="162" t="e">
        <f>((F152*(1-'5.Closing Stock &amp; W Capital'!$D$16))+(E152*'5.Closing Stock &amp; W Capital'!$D$16))*$C211*H$172</f>
        <v>#REF!</v>
      </c>
      <c r="I211" s="162" t="e">
        <f>((G152*(1-'5.Closing Stock &amp; W Capital'!$D$16))+(F152*'5.Closing Stock &amp; W Capital'!$D$16))*$C211*I$172</f>
        <v>#REF!</v>
      </c>
      <c r="J211" s="162" t="e">
        <f>((H152*(1-'5.Closing Stock &amp; W Capital'!$D$16))+(G152*'5.Closing Stock &amp; W Capital'!$D$16))*$C211*J$172</f>
        <v>#REF!</v>
      </c>
      <c r="K211" s="78"/>
      <c r="L211" s="78"/>
    </row>
    <row r="212" spans="1:12" x14ac:dyDescent="0.2">
      <c r="A212" s="81" t="e">
        <f t="shared" si="34"/>
        <v>#REF!</v>
      </c>
      <c r="B212" s="79" t="s">
        <v>349</v>
      </c>
      <c r="C212" s="219">
        <v>2000</v>
      </c>
      <c r="D212" s="162" t="e">
        <f>(B153*(1-'5.Closing Stock &amp; W Capital'!$D$16))*$C212*D$172</f>
        <v>#REF!</v>
      </c>
      <c r="E212" s="162" t="e">
        <f>((C153*(1-'5.Closing Stock &amp; W Capital'!$D$16))+(B153*'5.Closing Stock &amp; W Capital'!$D$16))*$C212*E$172</f>
        <v>#REF!</v>
      </c>
      <c r="F212" s="162" t="e">
        <f>((D153*(1-'5.Closing Stock &amp; W Capital'!$D$16))+(C153*'5.Closing Stock &amp; W Capital'!$D$16))*$C212*F$172</f>
        <v>#REF!</v>
      </c>
      <c r="G212" s="162" t="e">
        <f>((E153*(1-'5.Closing Stock &amp; W Capital'!$D$16))+(D153*'5.Closing Stock &amp; W Capital'!$D$16))*$C212*G$172</f>
        <v>#REF!</v>
      </c>
      <c r="H212" s="162" t="e">
        <f>((F153*(1-'5.Closing Stock &amp; W Capital'!$D$16))+(E153*'5.Closing Stock &amp; W Capital'!$D$16))*$C212*H$172</f>
        <v>#REF!</v>
      </c>
      <c r="I212" s="162" t="e">
        <f>((G153*(1-'5.Closing Stock &amp; W Capital'!$D$16))+(F153*'5.Closing Stock &amp; W Capital'!$D$16))*$C212*I$172</f>
        <v>#REF!</v>
      </c>
      <c r="J212" s="162" t="e">
        <f>((H153*(1-'5.Closing Stock &amp; W Capital'!$D$16))+(G153*'5.Closing Stock &amp; W Capital'!$D$16))*$C212*J$172</f>
        <v>#REF!</v>
      </c>
      <c r="K212" s="78"/>
      <c r="L212" s="78"/>
    </row>
    <row r="213" spans="1:12" x14ac:dyDescent="0.2">
      <c r="A213" s="81" t="e">
        <f t="shared" si="34"/>
        <v>#REF!</v>
      </c>
      <c r="B213" s="79" t="s">
        <v>349</v>
      </c>
      <c r="C213" s="219">
        <v>1000</v>
      </c>
      <c r="D213" s="162" t="e">
        <f>(B154*(1-'5.Closing Stock &amp; W Capital'!$D$16))*$C213*D$172</f>
        <v>#REF!</v>
      </c>
      <c r="E213" s="162" t="e">
        <f>((C154*(1-'5.Closing Stock &amp; W Capital'!$D$16))+(B154*'5.Closing Stock &amp; W Capital'!$D$16))*$C213*E$172</f>
        <v>#REF!</v>
      </c>
      <c r="F213" s="162" t="e">
        <f>((D154*(1-'5.Closing Stock &amp; W Capital'!$D$16))+(C154*'5.Closing Stock &amp; W Capital'!$D$16))*$C213*F$172</f>
        <v>#REF!</v>
      </c>
      <c r="G213" s="162" t="e">
        <f>((E154*(1-'5.Closing Stock &amp; W Capital'!$D$16))+(D154*'5.Closing Stock &amp; W Capital'!$D$16))*$C213*G$172</f>
        <v>#REF!</v>
      </c>
      <c r="H213" s="162" t="e">
        <f>((F154*(1-'5.Closing Stock &amp; W Capital'!$D$16))+(E154*'5.Closing Stock &amp; W Capital'!$D$16))*$C213*H$172</f>
        <v>#REF!</v>
      </c>
      <c r="I213" s="162" t="e">
        <f>((G154*(1-'5.Closing Stock &amp; W Capital'!$D$16))+(F154*'5.Closing Stock &amp; W Capital'!$D$16))*$C213*I$172</f>
        <v>#REF!</v>
      </c>
      <c r="J213" s="162" t="e">
        <f>((H154*(1-'5.Closing Stock &amp; W Capital'!$D$16))+(G154*'5.Closing Stock &amp; W Capital'!$D$16))*$C213*J$172</f>
        <v>#REF!</v>
      </c>
      <c r="K213" s="78"/>
      <c r="L213" s="78"/>
    </row>
    <row r="214" spans="1:12" x14ac:dyDescent="0.2">
      <c r="A214" s="81" t="e">
        <f t="shared" si="34"/>
        <v>#REF!</v>
      </c>
      <c r="B214" s="79" t="s">
        <v>349</v>
      </c>
      <c r="C214" s="219">
        <v>1500</v>
      </c>
      <c r="D214" s="162" t="e">
        <f>(B155*(1-'5.Closing Stock &amp; W Capital'!$D$16))*$C214*D$172</f>
        <v>#REF!</v>
      </c>
      <c r="E214" s="162" t="e">
        <f>((C155*(1-'5.Closing Stock &amp; W Capital'!$D$16))+(B155*'5.Closing Stock &amp; W Capital'!$D$16))*$C214*E$172</f>
        <v>#REF!</v>
      </c>
      <c r="F214" s="162" t="e">
        <f>((D155*(1-'5.Closing Stock &amp; W Capital'!$D$16))+(C155*'5.Closing Stock &amp; W Capital'!$D$16))*$C214*F$172</f>
        <v>#REF!</v>
      </c>
      <c r="G214" s="162" t="e">
        <f>((E155*(1-'5.Closing Stock &amp; W Capital'!$D$16))+(D155*'5.Closing Stock &amp; W Capital'!$D$16))*$C214*G$172</f>
        <v>#REF!</v>
      </c>
      <c r="H214" s="162" t="e">
        <f>((F155*(1-'5.Closing Stock &amp; W Capital'!$D$16))+(E155*'5.Closing Stock &amp; W Capital'!$D$16))*$C214*H$172</f>
        <v>#REF!</v>
      </c>
      <c r="I214" s="162" t="e">
        <f>((G155*(1-'5.Closing Stock &amp; W Capital'!$D$16))+(F155*'5.Closing Stock &amp; W Capital'!$D$16))*$C214*I$172</f>
        <v>#REF!</v>
      </c>
      <c r="J214" s="162" t="e">
        <f>((H155*(1-'5.Closing Stock &amp; W Capital'!$D$16))+(G155*'5.Closing Stock &amp; W Capital'!$D$16))*$C214*J$172</f>
        <v>#REF!</v>
      </c>
      <c r="K214" s="78"/>
      <c r="L214" s="78"/>
    </row>
    <row r="215" spans="1:12" x14ac:dyDescent="0.2">
      <c r="A215" s="81" t="e">
        <f t="shared" si="34"/>
        <v>#REF!</v>
      </c>
      <c r="B215" s="79" t="s">
        <v>349</v>
      </c>
      <c r="C215" s="219">
        <v>3000</v>
      </c>
      <c r="D215" s="162" t="e">
        <f>(B156*(1-'5.Closing Stock &amp; W Capital'!$D$16))*$C215*D$172</f>
        <v>#REF!</v>
      </c>
      <c r="E215" s="162" t="e">
        <f>((C156*(1-'5.Closing Stock &amp; W Capital'!$D$16))+(B156*'5.Closing Stock &amp; W Capital'!$D$16))*$C215*E$172</f>
        <v>#REF!</v>
      </c>
      <c r="F215" s="162" t="e">
        <f>((D156*(1-'5.Closing Stock &amp; W Capital'!$D$16))+(C156*'5.Closing Stock &amp; W Capital'!$D$16))*$C215*F$172</f>
        <v>#REF!</v>
      </c>
      <c r="G215" s="162" t="e">
        <f>((E156*(1-'5.Closing Stock &amp; W Capital'!$D$16))+(D156*'5.Closing Stock &amp; W Capital'!$D$16))*$C215*G$172</f>
        <v>#REF!</v>
      </c>
      <c r="H215" s="162" t="e">
        <f>((F156*(1-'5.Closing Stock &amp; W Capital'!$D$16))+(E156*'5.Closing Stock &amp; W Capital'!$D$16))*$C215*H$172</f>
        <v>#REF!</v>
      </c>
      <c r="I215" s="162" t="e">
        <f>((G156*(1-'5.Closing Stock &amp; W Capital'!$D$16))+(F156*'5.Closing Stock &amp; W Capital'!$D$16))*$C215*I$172</f>
        <v>#REF!</v>
      </c>
      <c r="J215" s="162" t="e">
        <f>((H156*(1-'5.Closing Stock &amp; W Capital'!$D$16))+(G156*'5.Closing Stock &amp; W Capital'!$D$16))*$C215*J$172</f>
        <v>#REF!</v>
      </c>
      <c r="K215" s="78"/>
      <c r="L215" s="78"/>
    </row>
    <row r="216" spans="1:12" x14ac:dyDescent="0.2">
      <c r="A216" s="81" t="e">
        <f t="shared" si="34"/>
        <v>#REF!</v>
      </c>
      <c r="B216" s="79" t="s">
        <v>349</v>
      </c>
      <c r="C216" s="219">
        <v>2000</v>
      </c>
      <c r="D216" s="162" t="e">
        <f>(B157*(1-'5.Closing Stock &amp; W Capital'!$D$16))*$C216*D$172</f>
        <v>#REF!</v>
      </c>
      <c r="E216" s="162" t="e">
        <f>((C157*(1-'5.Closing Stock &amp; W Capital'!$D$16))+(B157*'5.Closing Stock &amp; W Capital'!$D$16))*$C216*E$172</f>
        <v>#REF!</v>
      </c>
      <c r="F216" s="162" t="e">
        <f>((D157*(1-'5.Closing Stock &amp; W Capital'!$D$16))+(C157*'5.Closing Stock &amp; W Capital'!$D$16))*$C216*F$172</f>
        <v>#REF!</v>
      </c>
      <c r="G216" s="162" t="e">
        <f>((E157*(1-'5.Closing Stock &amp; W Capital'!$D$16))+(D157*'5.Closing Stock &amp; W Capital'!$D$16))*$C216*G$172</f>
        <v>#REF!</v>
      </c>
      <c r="H216" s="162" t="e">
        <f>((F157*(1-'5.Closing Stock &amp; W Capital'!$D$16))+(E157*'5.Closing Stock &amp; W Capital'!$D$16))*$C216*H$172</f>
        <v>#REF!</v>
      </c>
      <c r="I216" s="162" t="e">
        <f>((G157*(1-'5.Closing Stock &amp; W Capital'!$D$16))+(F157*'5.Closing Stock &amp; W Capital'!$D$16))*$C216*I$172</f>
        <v>#REF!</v>
      </c>
      <c r="J216" s="162" t="e">
        <f>((H157*(1-'5.Closing Stock &amp; W Capital'!$D$16))+(G157*'5.Closing Stock &amp; W Capital'!$D$16))*$C216*J$172</f>
        <v>#REF!</v>
      </c>
      <c r="K216" s="78"/>
      <c r="L216" s="78"/>
    </row>
    <row r="217" spans="1:12" x14ac:dyDescent="0.2">
      <c r="A217" s="81" t="e">
        <f t="shared" si="34"/>
        <v>#REF!</v>
      </c>
      <c r="B217" s="79" t="s">
        <v>349</v>
      </c>
      <c r="C217" s="219"/>
      <c r="D217" s="162" t="e">
        <f>(B158*(1-'5.Closing Stock &amp; W Capital'!$D$16))*$C217*D$172</f>
        <v>#REF!</v>
      </c>
      <c r="E217" s="162" t="e">
        <f>((C158*(1-'5.Closing Stock &amp; W Capital'!$D$16))+(B158*'5.Closing Stock &amp; W Capital'!$D$16))*$C217*E$172</f>
        <v>#REF!</v>
      </c>
      <c r="F217" s="162" t="e">
        <f>((D158*(1-'5.Closing Stock &amp; W Capital'!$D$16))+(C158*'5.Closing Stock &amp; W Capital'!$D$16))*$C217*F$172</f>
        <v>#REF!</v>
      </c>
      <c r="G217" s="162" t="e">
        <f>((E158*(1-'5.Closing Stock &amp; W Capital'!$D$16))+(D158*'5.Closing Stock &amp; W Capital'!$D$16))*$C217*G$172</f>
        <v>#REF!</v>
      </c>
      <c r="H217" s="162" t="e">
        <f>((F158*(1-'5.Closing Stock &amp; W Capital'!$D$16))+(E158*'5.Closing Stock &amp; W Capital'!$D$16))*$C217*H$172</f>
        <v>#REF!</v>
      </c>
      <c r="I217" s="162" t="e">
        <f>((G158*(1-'5.Closing Stock &amp; W Capital'!$D$16))+(F158*'5.Closing Stock &amp; W Capital'!$D$16))*$C217*I$172</f>
        <v>#REF!</v>
      </c>
      <c r="J217" s="162" t="e">
        <f>((H158*(1-'5.Closing Stock &amp; W Capital'!$D$16))+(G158*'5.Closing Stock &amp; W Capital'!$D$16))*$C217*J$172</f>
        <v>#REF!</v>
      </c>
      <c r="K217" s="78"/>
      <c r="L217" s="78"/>
    </row>
    <row r="218" spans="1:12" x14ac:dyDescent="0.2">
      <c r="A218" s="81" t="e">
        <f t="shared" si="34"/>
        <v>#REF!</v>
      </c>
      <c r="B218" s="79" t="s">
        <v>349</v>
      </c>
      <c r="C218" s="219"/>
      <c r="D218" s="162" t="e">
        <f>(B159*(1-'5.Closing Stock &amp; W Capital'!$D$16))*$C218*D$172</f>
        <v>#REF!</v>
      </c>
      <c r="E218" s="162" t="e">
        <f>((C159*(1-'5.Closing Stock &amp; W Capital'!$D$16))+(B159*'5.Closing Stock &amp; W Capital'!$D$16))*$C218*E$172</f>
        <v>#REF!</v>
      </c>
      <c r="F218" s="162" t="e">
        <f>((D159*(1-'5.Closing Stock &amp; W Capital'!$D$16))+(C159*'5.Closing Stock &amp; W Capital'!$D$16))*$C218*F$172</f>
        <v>#REF!</v>
      </c>
      <c r="G218" s="162" t="e">
        <f>((E159*(1-'5.Closing Stock &amp; W Capital'!$D$16))+(D159*'5.Closing Stock &amp; W Capital'!$D$16))*$C218*G$172</f>
        <v>#REF!</v>
      </c>
      <c r="H218" s="162" t="e">
        <f>((F159*(1-'5.Closing Stock &amp; W Capital'!$D$16))+(E159*'5.Closing Stock &amp; W Capital'!$D$16))*$C218*H$172</f>
        <v>#REF!</v>
      </c>
      <c r="I218" s="162" t="e">
        <f>((G159*(1-'5.Closing Stock &amp; W Capital'!$D$16))+(F159*'5.Closing Stock &amp; W Capital'!$D$16))*$C218*I$172</f>
        <v>#REF!</v>
      </c>
      <c r="J218" s="162" t="e">
        <f>((H159*(1-'5.Closing Stock &amp; W Capital'!$D$16))+(G159*'5.Closing Stock &amp; W Capital'!$D$16))*$C218*J$172</f>
        <v>#REF!</v>
      </c>
      <c r="K218" s="78"/>
      <c r="L218" s="78"/>
    </row>
    <row r="219" spans="1:12" x14ac:dyDescent="0.2">
      <c r="A219" s="81" t="e">
        <f t="shared" si="34"/>
        <v>#REF!</v>
      </c>
      <c r="B219" s="79" t="s">
        <v>349</v>
      </c>
      <c r="C219" s="219"/>
      <c r="D219" s="162" t="e">
        <f>(B160*(1-'5.Closing Stock &amp; W Capital'!$D$16))*$C219*D$172</f>
        <v>#REF!</v>
      </c>
      <c r="E219" s="162" t="e">
        <f>((C160*(1-'5.Closing Stock &amp; W Capital'!$D$16))+(B160*'5.Closing Stock &amp; W Capital'!$D$16))*$C219*E$172</f>
        <v>#REF!</v>
      </c>
      <c r="F219" s="162" t="e">
        <f>((D160*(1-'5.Closing Stock &amp; W Capital'!$D$16))+(C160*'5.Closing Stock &amp; W Capital'!$D$16))*$C219*F$172</f>
        <v>#REF!</v>
      </c>
      <c r="G219" s="162" t="e">
        <f>((E160*(1-'5.Closing Stock &amp; W Capital'!$D$16))+(D160*'5.Closing Stock &amp; W Capital'!$D$16))*$C219*G$172</f>
        <v>#REF!</v>
      </c>
      <c r="H219" s="162" t="e">
        <f>((F160*(1-'5.Closing Stock &amp; W Capital'!$D$16))+(E160*'5.Closing Stock &amp; W Capital'!$D$16))*$C219*H$172</f>
        <v>#REF!</v>
      </c>
      <c r="I219" s="162" t="e">
        <f>((G160*(1-'5.Closing Stock &amp; W Capital'!$D$16))+(F160*'5.Closing Stock &amp; W Capital'!$D$16))*$C219*I$172</f>
        <v>#REF!</v>
      </c>
      <c r="J219" s="162" t="e">
        <f>((H160*(1-'5.Closing Stock &amp; W Capital'!$D$16))+(G160*'5.Closing Stock &amp; W Capital'!$D$16))*$C219*J$172</f>
        <v>#REF!</v>
      </c>
      <c r="K219" s="78"/>
      <c r="L219" s="78"/>
    </row>
    <row r="220" spans="1:12" x14ac:dyDescent="0.2">
      <c r="A220" s="81" t="e">
        <f t="shared" si="34"/>
        <v>#REF!</v>
      </c>
      <c r="B220" s="79" t="s">
        <v>349</v>
      </c>
      <c r="C220" s="219"/>
      <c r="D220" s="162" t="e">
        <f>(B161*(1-'5.Closing Stock &amp; W Capital'!$D$16))*$C220*D$172</f>
        <v>#REF!</v>
      </c>
      <c r="E220" s="162" t="e">
        <f>((C161*(1-'5.Closing Stock &amp; W Capital'!$D$16))+(B161*'5.Closing Stock &amp; W Capital'!$D$16))*$C220*E$172</f>
        <v>#REF!</v>
      </c>
      <c r="F220" s="162" t="e">
        <f>((D161*(1-'5.Closing Stock &amp; W Capital'!$D$16))+(C161*'5.Closing Stock &amp; W Capital'!$D$16))*$C220*F$172</f>
        <v>#REF!</v>
      </c>
      <c r="G220" s="162" t="e">
        <f>((E161*(1-'5.Closing Stock &amp; W Capital'!$D$16))+(D161*'5.Closing Stock &amp; W Capital'!$D$16))*$C220*G$172</f>
        <v>#REF!</v>
      </c>
      <c r="H220" s="162" t="e">
        <f>((F161*(1-'5.Closing Stock &amp; W Capital'!$D$16))+(E161*'5.Closing Stock &amp; W Capital'!$D$16))*$C220*H$172</f>
        <v>#REF!</v>
      </c>
      <c r="I220" s="162" t="e">
        <f>((G161*(1-'5.Closing Stock &amp; W Capital'!$D$16))+(F161*'5.Closing Stock &amp; W Capital'!$D$16))*$C220*I$172</f>
        <v>#REF!</v>
      </c>
      <c r="J220" s="162" t="e">
        <f>((H161*(1-'5.Closing Stock &amp; W Capital'!$D$16))+(G161*'5.Closing Stock &amp; W Capital'!$D$16))*$C220*J$172</f>
        <v>#REF!</v>
      </c>
      <c r="K220" s="78"/>
      <c r="L220" s="78"/>
    </row>
    <row r="221" spans="1:12" x14ac:dyDescent="0.2">
      <c r="A221" s="81" t="e">
        <f t="shared" ref="A221:A223" si="35">A162</f>
        <v>#REF!</v>
      </c>
      <c r="B221" s="79" t="s">
        <v>349</v>
      </c>
      <c r="C221" s="219"/>
      <c r="D221" s="162">
        <f>(B162*(1-'5.Closing Stock &amp; W Capital'!$D$16))*$C221*D$172</f>
        <v>0</v>
      </c>
      <c r="E221" s="162">
        <f>((C162*(1-'5.Closing Stock &amp; W Capital'!$D$16))+(B162*'5.Closing Stock &amp; W Capital'!$D$16))*$C221*E$172</f>
        <v>0</v>
      </c>
      <c r="F221" s="162">
        <f>((D162*(1-'5.Closing Stock &amp; W Capital'!$D$16))+(C162*'5.Closing Stock &amp; W Capital'!$D$16))*$C221*F$172</f>
        <v>0</v>
      </c>
      <c r="G221" s="162">
        <f>((E162*(1-'5.Closing Stock &amp; W Capital'!$D$16))+(D162*'5.Closing Stock &amp; W Capital'!$D$16))*$C221*G$172</f>
        <v>0</v>
      </c>
      <c r="H221" s="162">
        <f>((F162*(1-'5.Closing Stock &amp; W Capital'!$D$16))+(E162*'5.Closing Stock &amp; W Capital'!$D$16))*$C221*H$172</f>
        <v>0</v>
      </c>
      <c r="I221" s="162">
        <f>((G162*(1-'5.Closing Stock &amp; W Capital'!$D$16))+(F162*'5.Closing Stock &amp; W Capital'!$D$16))*$C221*I$172</f>
        <v>0</v>
      </c>
      <c r="J221" s="162">
        <f>((H162*(1-'5.Closing Stock &amp; W Capital'!$D$16))+(G162*'5.Closing Stock &amp; W Capital'!$D$16))*$C221*J$172</f>
        <v>0</v>
      </c>
      <c r="K221" s="78"/>
      <c r="L221" s="78"/>
    </row>
    <row r="222" spans="1:12" x14ac:dyDescent="0.2">
      <c r="A222" s="81" t="e">
        <f t="shared" si="35"/>
        <v>#REF!</v>
      </c>
      <c r="B222" s="79" t="s">
        <v>349</v>
      </c>
      <c r="C222" s="219"/>
      <c r="D222" s="162">
        <f>(B163*(1-'5.Closing Stock &amp; W Capital'!$D$16))*$C222*D$172</f>
        <v>0</v>
      </c>
      <c r="E222" s="162">
        <f>((C163*(1-'5.Closing Stock &amp; W Capital'!$D$16))+(B163*'5.Closing Stock &amp; W Capital'!$D$16))*$C222*E$172</f>
        <v>0</v>
      </c>
      <c r="F222" s="162">
        <f>((D163*(1-'5.Closing Stock &amp; W Capital'!$D$16))+(C163*'5.Closing Stock &amp; W Capital'!$D$16))*$C222*F$172</f>
        <v>0</v>
      </c>
      <c r="G222" s="162">
        <f>((E163*(1-'5.Closing Stock &amp; W Capital'!$D$16))+(D163*'5.Closing Stock &amp; W Capital'!$D$16))*$C222*G$172</f>
        <v>0</v>
      </c>
      <c r="H222" s="162">
        <f>((F163*(1-'5.Closing Stock &amp; W Capital'!$D$16))+(E163*'5.Closing Stock &amp; W Capital'!$D$16))*$C222*H$172</f>
        <v>0</v>
      </c>
      <c r="I222" s="162">
        <f>((G163*(1-'5.Closing Stock &amp; W Capital'!$D$16))+(F163*'5.Closing Stock &amp; W Capital'!$D$16))*$C222*I$172</f>
        <v>0</v>
      </c>
      <c r="J222" s="162">
        <f>((H163*(1-'5.Closing Stock &amp; W Capital'!$D$16))+(G163*'5.Closing Stock &amp; W Capital'!$D$16))*$C222*J$172</f>
        <v>0</v>
      </c>
      <c r="K222" s="78"/>
      <c r="L222" s="78"/>
    </row>
    <row r="223" spans="1:12" x14ac:dyDescent="0.2">
      <c r="A223" s="81" t="e">
        <f t="shared" si="35"/>
        <v>#REF!</v>
      </c>
      <c r="B223" s="79" t="s">
        <v>349</v>
      </c>
      <c r="C223" s="219"/>
      <c r="D223" s="162">
        <f>(B164*(1-'5.Closing Stock &amp; W Capital'!$D$16))*$C223*D$172</f>
        <v>0</v>
      </c>
      <c r="E223" s="162">
        <f>((C164*(1-'5.Closing Stock &amp; W Capital'!$D$16))+(B164*'5.Closing Stock &amp; W Capital'!$D$16))*$C223*E$172</f>
        <v>0</v>
      </c>
      <c r="F223" s="162">
        <f>((D164*(1-'5.Closing Stock &amp; W Capital'!$D$16))+(C164*'5.Closing Stock &amp; W Capital'!$D$16))*$C223*F$172</f>
        <v>0</v>
      </c>
      <c r="G223" s="162">
        <f>((E164*(1-'5.Closing Stock &amp; W Capital'!$D$16))+(D164*'5.Closing Stock &amp; W Capital'!$D$16))*$C223*G$172</f>
        <v>0</v>
      </c>
      <c r="H223" s="162">
        <f>((F164*(1-'5.Closing Stock &amp; W Capital'!$D$16))+(E164*'5.Closing Stock &amp; W Capital'!$D$16))*$C223*H$172</f>
        <v>0</v>
      </c>
      <c r="I223" s="162">
        <f>((G164*(1-'5.Closing Stock &amp; W Capital'!$D$16))+(F164*'5.Closing Stock &amp; W Capital'!$D$16))*$C223*I$172</f>
        <v>0</v>
      </c>
      <c r="J223" s="162">
        <f>((H164*(1-'5.Closing Stock &amp; W Capital'!$D$16))+(G164*'5.Closing Stock &amp; W Capital'!$D$16))*$C223*J$172</f>
        <v>0</v>
      </c>
      <c r="K223" s="78"/>
      <c r="L223" s="78"/>
    </row>
    <row r="224" spans="1:12" x14ac:dyDescent="0.2">
      <c r="A224" s="81" t="e">
        <f t="shared" ref="A224:A227" si="36">A165</f>
        <v>#REF!</v>
      </c>
      <c r="B224" s="79" t="s">
        <v>349</v>
      </c>
      <c r="C224" s="219">
        <v>5000</v>
      </c>
      <c r="D224" s="162" t="e">
        <f>(B165*(1-'5.Closing Stock &amp; W Capital'!$D$16))*$C224*D$172</f>
        <v>#REF!</v>
      </c>
      <c r="E224" s="162" t="e">
        <f>((C165*(1-'5.Closing Stock &amp; W Capital'!$D$16))+(B165*'5.Closing Stock &amp; W Capital'!$D$16))*$C224*E$172</f>
        <v>#REF!</v>
      </c>
      <c r="F224" s="162" t="e">
        <f>((D165*(1-'5.Closing Stock &amp; W Capital'!$D$16))+(C165*'5.Closing Stock &amp; W Capital'!$D$16))*$C224*F$172</f>
        <v>#REF!</v>
      </c>
      <c r="G224" s="162" t="e">
        <f>((E165*(1-'5.Closing Stock &amp; W Capital'!$D$16))+(D165*'5.Closing Stock &amp; W Capital'!$D$16))*$C224*G$172</f>
        <v>#REF!</v>
      </c>
      <c r="H224" s="162" t="e">
        <f>((F165*(1-'5.Closing Stock &amp; W Capital'!$D$16))+(E165*'5.Closing Stock &amp; W Capital'!$D$16))*$C224*H$172</f>
        <v>#REF!</v>
      </c>
      <c r="I224" s="162" t="e">
        <f>((G165*(1-'5.Closing Stock &amp; W Capital'!$D$16))+(F165*'5.Closing Stock &amp; W Capital'!$D$16))*$C224*I$172</f>
        <v>#REF!</v>
      </c>
      <c r="J224" s="162" t="e">
        <f>((H165*(1-'5.Closing Stock &amp; W Capital'!$D$16))+(G165*'5.Closing Stock &amp; W Capital'!$D$16))*$C224*J$172</f>
        <v>#REF!</v>
      </c>
      <c r="K224" s="78"/>
      <c r="L224" s="78"/>
    </row>
    <row r="225" spans="1:12" x14ac:dyDescent="0.2">
      <c r="A225" s="81" t="e">
        <f t="shared" si="36"/>
        <v>#REF!</v>
      </c>
      <c r="B225" s="79" t="s">
        <v>349</v>
      </c>
      <c r="C225" s="219"/>
      <c r="D225" s="162" t="e">
        <f>(B166*(1-'5.Closing Stock &amp; W Capital'!$D$16))*$C225*D$172</f>
        <v>#REF!</v>
      </c>
      <c r="E225" s="162" t="e">
        <f>((C166*(1-'5.Closing Stock &amp; W Capital'!$D$16))+(B166*'5.Closing Stock &amp; W Capital'!$D$16))*$C225*E$172</f>
        <v>#REF!</v>
      </c>
      <c r="F225" s="162" t="e">
        <f>((D166*(1-'5.Closing Stock &amp; W Capital'!$D$16))+(C166*'5.Closing Stock &amp; W Capital'!$D$16))*$C225*F$172</f>
        <v>#REF!</v>
      </c>
      <c r="G225" s="162" t="e">
        <f>((E166*(1-'5.Closing Stock &amp; W Capital'!$D$16))+(D166*'5.Closing Stock &amp; W Capital'!$D$16))*$C225*G$172</f>
        <v>#REF!</v>
      </c>
      <c r="H225" s="162" t="e">
        <f>((F166*(1-'5.Closing Stock &amp; W Capital'!$D$16))+(E166*'5.Closing Stock &amp; W Capital'!$D$16))*$C225*H$172</f>
        <v>#REF!</v>
      </c>
      <c r="I225" s="162" t="e">
        <f>((G166*(1-'5.Closing Stock &amp; W Capital'!$D$16))+(F166*'5.Closing Stock &amp; W Capital'!$D$16))*$C225*I$172</f>
        <v>#REF!</v>
      </c>
      <c r="J225" s="162" t="e">
        <f>((H166*(1-'5.Closing Stock &amp; W Capital'!$D$16))+(G166*'5.Closing Stock &amp; W Capital'!$D$16))*$C225*J$172</f>
        <v>#REF!</v>
      </c>
      <c r="K225" s="78"/>
      <c r="L225" s="78"/>
    </row>
    <row r="226" spans="1:12" x14ac:dyDescent="0.2">
      <c r="A226" s="81" t="e">
        <f t="shared" si="36"/>
        <v>#REF!</v>
      </c>
      <c r="B226" s="79" t="s">
        <v>349</v>
      </c>
      <c r="C226" s="219"/>
      <c r="D226" s="162" t="e">
        <f>(B167*(1-'5.Closing Stock &amp; W Capital'!$D$16))*$C226*D$172</f>
        <v>#REF!</v>
      </c>
      <c r="E226" s="162" t="e">
        <f>((C167*(1-'5.Closing Stock &amp; W Capital'!$D$16))+(B167*'5.Closing Stock &amp; W Capital'!$D$16))*$C226*E$172</f>
        <v>#REF!</v>
      </c>
      <c r="F226" s="162" t="e">
        <f>((D167*(1-'5.Closing Stock &amp; W Capital'!$D$16))+(C167*'5.Closing Stock &amp; W Capital'!$D$16))*$C226*F$172</f>
        <v>#REF!</v>
      </c>
      <c r="G226" s="162" t="e">
        <f>((E167*(1-'5.Closing Stock &amp; W Capital'!$D$16))+(D167*'5.Closing Stock &amp; W Capital'!$D$16))*$C226*G$172</f>
        <v>#REF!</v>
      </c>
      <c r="H226" s="162" t="e">
        <f>((F167*(1-'5.Closing Stock &amp; W Capital'!$D$16))+(E167*'5.Closing Stock &amp; W Capital'!$D$16))*$C226*H$172</f>
        <v>#REF!</v>
      </c>
      <c r="I226" s="162" t="e">
        <f>((G167*(1-'5.Closing Stock &amp; W Capital'!$D$16))+(F167*'5.Closing Stock &amp; W Capital'!$D$16))*$C226*I$172</f>
        <v>#REF!</v>
      </c>
      <c r="J226" s="162" t="e">
        <f>((H167*(1-'5.Closing Stock &amp; W Capital'!$D$16))+(G167*'5.Closing Stock &amp; W Capital'!$D$16))*$C226*J$172</f>
        <v>#REF!</v>
      </c>
      <c r="K226" s="78"/>
      <c r="L226" s="78"/>
    </row>
    <row r="227" spans="1:12" x14ac:dyDescent="0.2">
      <c r="A227" s="81" t="e">
        <f t="shared" si="36"/>
        <v>#REF!</v>
      </c>
      <c r="B227" s="79" t="s">
        <v>349</v>
      </c>
      <c r="C227" s="219"/>
      <c r="D227" s="162" t="e">
        <f>(B168*(1-'5.Closing Stock &amp; W Capital'!$D$16))*$C227*D$172</f>
        <v>#REF!</v>
      </c>
      <c r="E227" s="162" t="e">
        <f>((C168*(1-'5.Closing Stock &amp; W Capital'!$D$16))+(B168*'5.Closing Stock &amp; W Capital'!$D$16))*$C227*E$172</f>
        <v>#REF!</v>
      </c>
      <c r="F227" s="162" t="e">
        <f>((D168*(1-'5.Closing Stock &amp; W Capital'!$D$16))+(C168*'5.Closing Stock &amp; W Capital'!$D$16))*$C227*F$172</f>
        <v>#REF!</v>
      </c>
      <c r="G227" s="162" t="e">
        <f>((E168*(1-'5.Closing Stock &amp; W Capital'!$D$16))+(D168*'5.Closing Stock &amp; W Capital'!$D$16))*$C227*G$172</f>
        <v>#REF!</v>
      </c>
      <c r="H227" s="162" t="e">
        <f>((F168*(1-'5.Closing Stock &amp; W Capital'!$D$16))+(E168*'5.Closing Stock &amp; W Capital'!$D$16))*$C227*H$172</f>
        <v>#REF!</v>
      </c>
      <c r="I227" s="162" t="e">
        <f>((G168*(1-'5.Closing Stock &amp; W Capital'!$D$16))+(F168*'5.Closing Stock &amp; W Capital'!$D$16))*$C227*I$172</f>
        <v>#REF!</v>
      </c>
      <c r="J227" s="162" t="e">
        <f>((H168*(1-'5.Closing Stock &amp; W Capital'!$D$16))+(G168*'5.Closing Stock &amp; W Capital'!$D$16))*$C227*J$172</f>
        <v>#REF!</v>
      </c>
      <c r="K227" s="78"/>
      <c r="L227" s="78"/>
    </row>
    <row r="228" spans="1:12" x14ac:dyDescent="0.2">
      <c r="A228" s="81"/>
      <c r="B228" s="81"/>
      <c r="C228" s="81"/>
      <c r="D228" s="79"/>
      <c r="E228" s="79"/>
      <c r="F228" s="79"/>
      <c r="G228" s="79"/>
      <c r="H228" s="79"/>
      <c r="I228" s="79"/>
      <c r="J228" s="79"/>
      <c r="K228" s="78"/>
      <c r="L228" s="78"/>
    </row>
    <row r="229" spans="1:12" x14ac:dyDescent="0.2">
      <c r="A229" s="81" t="s">
        <v>138</v>
      </c>
      <c r="B229" s="81"/>
      <c r="C229" s="81"/>
      <c r="D229" s="164" t="e">
        <f t="shared" ref="D229:J229" si="37">SUM(D178:D228)</f>
        <v>#VALUE!</v>
      </c>
      <c r="E229" s="164" t="e">
        <f t="shared" si="37"/>
        <v>#VALUE!</v>
      </c>
      <c r="F229" s="164" t="e">
        <f t="shared" si="37"/>
        <v>#VALUE!</v>
      </c>
      <c r="G229" s="164" t="e">
        <f t="shared" si="37"/>
        <v>#VALUE!</v>
      </c>
      <c r="H229" s="164" t="e">
        <f t="shared" si="37"/>
        <v>#VALUE!</v>
      </c>
      <c r="I229" s="164" t="e">
        <f t="shared" si="37"/>
        <v>#VALUE!</v>
      </c>
      <c r="J229" s="164" t="e">
        <f t="shared" si="37"/>
        <v>#VALUE!</v>
      </c>
      <c r="K229" s="78"/>
      <c r="L229" s="78"/>
    </row>
    <row r="230" spans="1:12" x14ac:dyDescent="0.2">
      <c r="A230" s="79"/>
      <c r="B230" s="79"/>
      <c r="C230" s="79"/>
      <c r="D230" s="79"/>
      <c r="E230" s="79"/>
      <c r="F230" s="79"/>
      <c r="G230" s="79"/>
      <c r="H230" s="79"/>
      <c r="I230" s="79"/>
      <c r="J230" s="79"/>
      <c r="K230" s="78"/>
      <c r="L230" s="78"/>
    </row>
    <row r="231" spans="1:12" x14ac:dyDescent="0.2">
      <c r="A231" s="81" t="s">
        <v>137</v>
      </c>
      <c r="B231" s="81"/>
      <c r="C231" s="81"/>
      <c r="D231" s="79"/>
      <c r="E231" s="79"/>
      <c r="F231" s="79"/>
      <c r="G231" s="79"/>
      <c r="H231" s="79"/>
      <c r="I231" s="79"/>
      <c r="J231" s="79"/>
      <c r="K231" s="78"/>
      <c r="L231" s="78"/>
    </row>
    <row r="232" spans="1:12" x14ac:dyDescent="0.2">
      <c r="A232" s="81" t="s">
        <v>301</v>
      </c>
      <c r="B232" s="81"/>
      <c r="C232" s="79"/>
      <c r="D232" s="79"/>
      <c r="E232" s="79"/>
      <c r="F232" s="79"/>
      <c r="G232" s="79"/>
      <c r="H232" s="79"/>
      <c r="I232" s="79"/>
      <c r="J232" s="79"/>
      <c r="K232" s="78"/>
      <c r="L232" s="78"/>
    </row>
    <row r="233" spans="1:12" x14ac:dyDescent="0.2">
      <c r="A233" s="79">
        <f t="shared" ref="A233:A254" si="38">A178</f>
        <v>0</v>
      </c>
      <c r="B233" s="79" t="s">
        <v>349</v>
      </c>
      <c r="C233" s="215">
        <v>3800</v>
      </c>
      <c r="D233" s="80">
        <f>B68*$C$233*D$172</f>
        <v>0</v>
      </c>
      <c r="E233" s="80">
        <f>C68*$C$233*E$172</f>
        <v>0</v>
      </c>
      <c r="F233" s="80">
        <f>D68*$C$233*F172</f>
        <v>0</v>
      </c>
      <c r="G233" s="80">
        <f>E68*$C$233*G172</f>
        <v>0</v>
      </c>
      <c r="H233" s="80">
        <f>F68*$C$233*H172</f>
        <v>0</v>
      </c>
      <c r="I233" s="80">
        <f>G68*$C$233*I172</f>
        <v>0</v>
      </c>
      <c r="J233" s="80">
        <f>H68*$C$233*J172</f>
        <v>0</v>
      </c>
      <c r="K233" s="78"/>
      <c r="L233" s="78"/>
    </row>
    <row r="234" spans="1:12" x14ac:dyDescent="0.2">
      <c r="A234" s="79" t="str">
        <f t="shared" si="38"/>
        <v>11.3 Quantity of Marketable Surplus Produce Considered for Trading Business</v>
      </c>
      <c r="B234" s="79" t="s">
        <v>349</v>
      </c>
      <c r="C234" s="215">
        <v>5800</v>
      </c>
      <c r="D234" s="80">
        <f>B69*$C$234*D$172</f>
        <v>0</v>
      </c>
      <c r="E234" s="80">
        <f t="shared" ref="E234:J234" si="39">C69*$C$234*E172</f>
        <v>0</v>
      </c>
      <c r="F234" s="80">
        <f t="shared" si="39"/>
        <v>0</v>
      </c>
      <c r="G234" s="80">
        <f t="shared" si="39"/>
        <v>0</v>
      </c>
      <c r="H234" s="80">
        <f t="shared" si="39"/>
        <v>0</v>
      </c>
      <c r="I234" s="80">
        <f t="shared" si="39"/>
        <v>0</v>
      </c>
      <c r="J234" s="80">
        <f t="shared" si="39"/>
        <v>0</v>
      </c>
      <c r="K234" s="78"/>
      <c r="L234" s="78"/>
    </row>
    <row r="235" spans="1:12" x14ac:dyDescent="0.2">
      <c r="A235" s="79" t="str">
        <f t="shared" si="38"/>
        <v>Particulars</v>
      </c>
      <c r="B235" s="79" t="s">
        <v>349</v>
      </c>
      <c r="C235" s="215"/>
      <c r="D235" s="80">
        <f>B70*$C$235*D$172</f>
        <v>0</v>
      </c>
      <c r="E235" s="80">
        <f t="shared" ref="E235:J235" si="40">C70*$C$235*E172</f>
        <v>0</v>
      </c>
      <c r="F235" s="80">
        <f t="shared" si="40"/>
        <v>0</v>
      </c>
      <c r="G235" s="80">
        <f t="shared" si="40"/>
        <v>0</v>
      </c>
      <c r="H235" s="80">
        <f t="shared" si="40"/>
        <v>0</v>
      </c>
      <c r="I235" s="80">
        <f t="shared" si="40"/>
        <v>0</v>
      </c>
      <c r="J235" s="80">
        <f t="shared" si="40"/>
        <v>0</v>
      </c>
      <c r="K235" s="78"/>
      <c r="L235" s="78"/>
    </row>
    <row r="236" spans="1:12" x14ac:dyDescent="0.2">
      <c r="A236" s="79">
        <f t="shared" si="38"/>
        <v>0</v>
      </c>
      <c r="B236" s="79" t="s">
        <v>349</v>
      </c>
      <c r="C236" s="215">
        <v>5800</v>
      </c>
      <c r="D236" s="80" t="e">
        <f t="shared" ref="D236:J236" si="41">B71*$C$236*D$172</f>
        <v>#VALUE!</v>
      </c>
      <c r="E236" s="80" t="e">
        <f t="shared" si="41"/>
        <v>#VALUE!</v>
      </c>
      <c r="F236" s="80" t="e">
        <f t="shared" si="41"/>
        <v>#VALUE!</v>
      </c>
      <c r="G236" s="80" t="e">
        <f t="shared" si="41"/>
        <v>#VALUE!</v>
      </c>
      <c r="H236" s="80" t="e">
        <f t="shared" si="41"/>
        <v>#VALUE!</v>
      </c>
      <c r="I236" s="80" t="e">
        <f t="shared" si="41"/>
        <v>#VALUE!</v>
      </c>
      <c r="J236" s="80" t="e">
        <f t="shared" si="41"/>
        <v>#VALUE!</v>
      </c>
      <c r="K236" s="78"/>
      <c r="L236" s="78"/>
    </row>
    <row r="237" spans="1:12" x14ac:dyDescent="0.2">
      <c r="A237" s="79" t="str">
        <f t="shared" si="38"/>
        <v>Onion</v>
      </c>
      <c r="B237" s="79" t="s">
        <v>349</v>
      </c>
      <c r="C237" s="215"/>
      <c r="D237" s="80">
        <f t="shared" ref="D237:J237" si="42">B72*$C$237*D$172</f>
        <v>0</v>
      </c>
      <c r="E237" s="80">
        <f t="shared" si="42"/>
        <v>0</v>
      </c>
      <c r="F237" s="80">
        <f t="shared" si="42"/>
        <v>0</v>
      </c>
      <c r="G237" s="80">
        <f t="shared" si="42"/>
        <v>0</v>
      </c>
      <c r="H237" s="80">
        <f t="shared" si="42"/>
        <v>0</v>
      </c>
      <c r="I237" s="80">
        <f t="shared" si="42"/>
        <v>0</v>
      </c>
      <c r="J237" s="80">
        <f t="shared" si="42"/>
        <v>0</v>
      </c>
      <c r="K237" s="78"/>
      <c r="L237" s="78"/>
    </row>
    <row r="238" spans="1:12" x14ac:dyDescent="0.2">
      <c r="A238" s="79" t="str">
        <f t="shared" si="38"/>
        <v>Tomato</v>
      </c>
      <c r="B238" s="79" t="s">
        <v>349</v>
      </c>
      <c r="C238" s="215">
        <v>6300</v>
      </c>
      <c r="D238" s="80">
        <f t="shared" ref="D238:J238" si="43">B73*$C$238*D$172</f>
        <v>0</v>
      </c>
      <c r="E238" s="80">
        <f t="shared" si="43"/>
        <v>0</v>
      </c>
      <c r="F238" s="80">
        <f t="shared" si="43"/>
        <v>0</v>
      </c>
      <c r="G238" s="80">
        <f t="shared" si="43"/>
        <v>0</v>
      </c>
      <c r="H238" s="80">
        <f t="shared" si="43"/>
        <v>0</v>
      </c>
      <c r="I238" s="80">
        <f t="shared" si="43"/>
        <v>0</v>
      </c>
      <c r="J238" s="80">
        <f t="shared" si="43"/>
        <v>0</v>
      </c>
      <c r="K238" s="78"/>
      <c r="L238" s="78"/>
    </row>
    <row r="239" spans="1:12" x14ac:dyDescent="0.2">
      <c r="A239" s="79" t="str">
        <f t="shared" si="38"/>
        <v>Okra</v>
      </c>
      <c r="B239" s="79" t="s">
        <v>349</v>
      </c>
      <c r="C239" s="215">
        <v>1800</v>
      </c>
      <c r="D239" s="80">
        <f t="shared" ref="D239:J239" si="44">B74*$C$239*D$172</f>
        <v>0</v>
      </c>
      <c r="E239" s="80">
        <f t="shared" si="44"/>
        <v>0</v>
      </c>
      <c r="F239" s="80">
        <f t="shared" si="44"/>
        <v>0</v>
      </c>
      <c r="G239" s="80">
        <f t="shared" si="44"/>
        <v>0</v>
      </c>
      <c r="H239" s="80">
        <f t="shared" si="44"/>
        <v>0</v>
      </c>
      <c r="I239" s="80">
        <f t="shared" si="44"/>
        <v>0</v>
      </c>
      <c r="J239" s="80">
        <f t="shared" si="44"/>
        <v>0</v>
      </c>
      <c r="K239" s="78"/>
      <c r="L239" s="78"/>
    </row>
    <row r="240" spans="1:12" x14ac:dyDescent="0.2">
      <c r="A240" s="79" t="str">
        <f t="shared" si="38"/>
        <v>Chilli</v>
      </c>
      <c r="B240" s="79" t="s">
        <v>349</v>
      </c>
      <c r="C240" s="215"/>
      <c r="D240" s="80">
        <f t="shared" ref="D240:J240" si="45">B75*$C$240*D$172</f>
        <v>0</v>
      </c>
      <c r="E240" s="80">
        <f t="shared" si="45"/>
        <v>0</v>
      </c>
      <c r="F240" s="80">
        <f t="shared" si="45"/>
        <v>0</v>
      </c>
      <c r="G240" s="80">
        <f t="shared" si="45"/>
        <v>0</v>
      </c>
      <c r="H240" s="80">
        <f t="shared" si="45"/>
        <v>0</v>
      </c>
      <c r="I240" s="80">
        <f t="shared" si="45"/>
        <v>0</v>
      </c>
      <c r="J240" s="80">
        <f t="shared" si="45"/>
        <v>0</v>
      </c>
      <c r="K240" s="78"/>
      <c r="L240" s="78"/>
    </row>
    <row r="241" spans="1:12" x14ac:dyDescent="0.2">
      <c r="A241" s="79" t="str">
        <f t="shared" si="38"/>
        <v>Potato</v>
      </c>
      <c r="B241" s="79" t="s">
        <v>349</v>
      </c>
      <c r="C241" s="215"/>
      <c r="D241" s="80">
        <f t="shared" ref="D241:J241" si="46">B76*$C$241*D$172</f>
        <v>0</v>
      </c>
      <c r="E241" s="80">
        <f t="shared" si="46"/>
        <v>0</v>
      </c>
      <c r="F241" s="80">
        <f t="shared" si="46"/>
        <v>0</v>
      </c>
      <c r="G241" s="80">
        <f t="shared" si="46"/>
        <v>0</v>
      </c>
      <c r="H241" s="80">
        <f t="shared" si="46"/>
        <v>0</v>
      </c>
      <c r="I241" s="80">
        <f t="shared" si="46"/>
        <v>0</v>
      </c>
      <c r="J241" s="80">
        <f t="shared" si="46"/>
        <v>0</v>
      </c>
      <c r="K241" s="78"/>
      <c r="L241" s="78"/>
    </row>
    <row r="242" spans="1:12" x14ac:dyDescent="0.2">
      <c r="A242" s="79">
        <f t="shared" si="38"/>
        <v>0</v>
      </c>
      <c r="B242" s="79" t="s">
        <v>349</v>
      </c>
      <c r="C242" s="215"/>
      <c r="D242" s="80">
        <f t="shared" ref="D242:J242" si="47">B77*$C$242*D$172</f>
        <v>0</v>
      </c>
      <c r="E242" s="80">
        <f t="shared" si="47"/>
        <v>0</v>
      </c>
      <c r="F242" s="80">
        <f t="shared" si="47"/>
        <v>0</v>
      </c>
      <c r="G242" s="80">
        <f t="shared" si="47"/>
        <v>0</v>
      </c>
      <c r="H242" s="80">
        <f t="shared" si="47"/>
        <v>0</v>
      </c>
      <c r="I242" s="80">
        <f t="shared" si="47"/>
        <v>0</v>
      </c>
      <c r="J242" s="80">
        <f t="shared" si="47"/>
        <v>0</v>
      </c>
      <c r="K242" s="78"/>
      <c r="L242" s="78"/>
    </row>
    <row r="243" spans="1:12" x14ac:dyDescent="0.2">
      <c r="A243" s="79">
        <f t="shared" si="38"/>
        <v>0</v>
      </c>
      <c r="B243" s="79" t="s">
        <v>349</v>
      </c>
      <c r="C243" s="215">
        <v>4800</v>
      </c>
      <c r="D243" s="80">
        <f t="shared" ref="D243:J243" si="48">B78*$C$243*D$172</f>
        <v>0</v>
      </c>
      <c r="E243" s="80">
        <f t="shared" si="48"/>
        <v>0</v>
      </c>
      <c r="F243" s="80">
        <f t="shared" si="48"/>
        <v>0</v>
      </c>
      <c r="G243" s="80">
        <f t="shared" si="48"/>
        <v>0</v>
      </c>
      <c r="H243" s="80">
        <f t="shared" si="48"/>
        <v>0</v>
      </c>
      <c r="I243" s="80">
        <f t="shared" si="48"/>
        <v>0</v>
      </c>
      <c r="J243" s="80">
        <f t="shared" si="48"/>
        <v>0</v>
      </c>
      <c r="K243" s="78"/>
      <c r="L243" s="78"/>
    </row>
    <row r="244" spans="1:12" x14ac:dyDescent="0.2">
      <c r="A244" s="79">
        <f t="shared" si="38"/>
        <v>0</v>
      </c>
      <c r="B244" s="79" t="s">
        <v>349</v>
      </c>
      <c r="C244" s="215"/>
      <c r="D244" s="80">
        <f t="shared" ref="D244:J244" si="49">B79*$C$244*D$172</f>
        <v>0</v>
      </c>
      <c r="E244" s="80">
        <f t="shared" si="49"/>
        <v>0</v>
      </c>
      <c r="F244" s="80">
        <f t="shared" si="49"/>
        <v>0</v>
      </c>
      <c r="G244" s="80">
        <f t="shared" si="49"/>
        <v>0</v>
      </c>
      <c r="H244" s="80">
        <f t="shared" si="49"/>
        <v>0</v>
      </c>
      <c r="I244" s="80">
        <f t="shared" si="49"/>
        <v>0</v>
      </c>
      <c r="J244" s="80">
        <f t="shared" si="49"/>
        <v>0</v>
      </c>
      <c r="K244" s="78"/>
      <c r="L244" s="78"/>
    </row>
    <row r="245" spans="1:12" x14ac:dyDescent="0.2">
      <c r="A245" s="79">
        <f t="shared" si="38"/>
        <v>0</v>
      </c>
      <c r="B245" s="79" t="s">
        <v>349</v>
      </c>
      <c r="C245" s="215"/>
      <c r="D245" s="80">
        <f t="shared" ref="D245:J245" si="50">B80*$C$245*D$172</f>
        <v>0</v>
      </c>
      <c r="E245" s="80">
        <f t="shared" si="50"/>
        <v>0</v>
      </c>
      <c r="F245" s="80">
        <f t="shared" si="50"/>
        <v>0</v>
      </c>
      <c r="G245" s="80">
        <f t="shared" si="50"/>
        <v>0</v>
      </c>
      <c r="H245" s="80">
        <f t="shared" si="50"/>
        <v>0</v>
      </c>
      <c r="I245" s="80">
        <f t="shared" si="50"/>
        <v>0</v>
      </c>
      <c r="J245" s="80">
        <f t="shared" si="50"/>
        <v>0</v>
      </c>
      <c r="K245" s="78"/>
      <c r="L245" s="78"/>
    </row>
    <row r="246" spans="1:12" x14ac:dyDescent="0.2">
      <c r="A246" s="79" t="str">
        <f t="shared" si="38"/>
        <v>Onion</v>
      </c>
      <c r="B246" s="79" t="s">
        <v>349</v>
      </c>
      <c r="C246" s="215"/>
      <c r="D246" s="80">
        <f t="shared" ref="D246:J246" si="51">B81*$C$246*D$172</f>
        <v>0</v>
      </c>
      <c r="E246" s="80">
        <f t="shared" si="51"/>
        <v>0</v>
      </c>
      <c r="F246" s="80">
        <f t="shared" si="51"/>
        <v>0</v>
      </c>
      <c r="G246" s="80">
        <f t="shared" si="51"/>
        <v>0</v>
      </c>
      <c r="H246" s="80">
        <f t="shared" si="51"/>
        <v>0</v>
      </c>
      <c r="I246" s="80">
        <f t="shared" si="51"/>
        <v>0</v>
      </c>
      <c r="J246" s="80">
        <f t="shared" si="51"/>
        <v>0</v>
      </c>
      <c r="K246" s="78"/>
      <c r="L246" s="78"/>
    </row>
    <row r="247" spans="1:12" x14ac:dyDescent="0.2">
      <c r="A247" s="79" t="str">
        <f t="shared" si="38"/>
        <v>Tomato</v>
      </c>
      <c r="B247" s="79" t="s">
        <v>349</v>
      </c>
      <c r="C247" s="215"/>
      <c r="D247" s="80">
        <f t="shared" ref="D247:J247" si="52">B82*$C$247*D$172</f>
        <v>0</v>
      </c>
      <c r="E247" s="80">
        <f t="shared" si="52"/>
        <v>0</v>
      </c>
      <c r="F247" s="80">
        <f t="shared" si="52"/>
        <v>0</v>
      </c>
      <c r="G247" s="80">
        <f t="shared" si="52"/>
        <v>0</v>
      </c>
      <c r="H247" s="80">
        <f t="shared" si="52"/>
        <v>0</v>
      </c>
      <c r="I247" s="80">
        <f t="shared" si="52"/>
        <v>0</v>
      </c>
      <c r="J247" s="80">
        <f t="shared" si="52"/>
        <v>0</v>
      </c>
      <c r="K247" s="78"/>
      <c r="L247" s="78"/>
    </row>
    <row r="248" spans="1:12" x14ac:dyDescent="0.2">
      <c r="A248" s="79" t="str">
        <f t="shared" si="38"/>
        <v>Okra</v>
      </c>
      <c r="B248" s="79" t="s">
        <v>349</v>
      </c>
      <c r="C248" s="215"/>
      <c r="D248" s="80">
        <f t="shared" ref="D248:J248" si="53">B83*$C$248*D$172</f>
        <v>0</v>
      </c>
      <c r="E248" s="80">
        <f t="shared" si="53"/>
        <v>0</v>
      </c>
      <c r="F248" s="80">
        <f t="shared" si="53"/>
        <v>0</v>
      </c>
      <c r="G248" s="80">
        <f t="shared" si="53"/>
        <v>0</v>
      </c>
      <c r="H248" s="80">
        <f t="shared" si="53"/>
        <v>0</v>
      </c>
      <c r="I248" s="80">
        <f t="shared" si="53"/>
        <v>0</v>
      </c>
      <c r="J248" s="80">
        <f t="shared" si="53"/>
        <v>0</v>
      </c>
      <c r="K248" s="78"/>
      <c r="L248" s="78"/>
    </row>
    <row r="249" spans="1:12" x14ac:dyDescent="0.2">
      <c r="A249" s="79" t="str">
        <f t="shared" si="38"/>
        <v>Chilli</v>
      </c>
      <c r="B249" s="79" t="s">
        <v>349</v>
      </c>
      <c r="C249" s="215"/>
      <c r="D249" s="80">
        <f t="shared" ref="D249:J255" si="54">B84*$C249*D$172</f>
        <v>0</v>
      </c>
      <c r="E249" s="80">
        <f t="shared" si="54"/>
        <v>0</v>
      </c>
      <c r="F249" s="80">
        <f t="shared" si="54"/>
        <v>0</v>
      </c>
      <c r="G249" s="80">
        <f t="shared" si="54"/>
        <v>0</v>
      </c>
      <c r="H249" s="80">
        <f t="shared" si="54"/>
        <v>0</v>
      </c>
      <c r="I249" s="80">
        <f t="shared" si="54"/>
        <v>0</v>
      </c>
      <c r="J249" s="80">
        <f t="shared" si="54"/>
        <v>0</v>
      </c>
      <c r="K249" s="78"/>
      <c r="L249" s="78"/>
    </row>
    <row r="250" spans="1:12" x14ac:dyDescent="0.2">
      <c r="A250" s="79" t="str">
        <f t="shared" si="38"/>
        <v>Brinjal</v>
      </c>
      <c r="B250" s="79" t="s">
        <v>349</v>
      </c>
      <c r="C250" s="215"/>
      <c r="D250" s="80">
        <f t="shared" si="54"/>
        <v>0</v>
      </c>
      <c r="E250" s="80">
        <f t="shared" si="54"/>
        <v>0</v>
      </c>
      <c r="F250" s="80">
        <f t="shared" si="54"/>
        <v>0</v>
      </c>
      <c r="G250" s="80">
        <f t="shared" si="54"/>
        <v>0</v>
      </c>
      <c r="H250" s="80">
        <f t="shared" si="54"/>
        <v>0</v>
      </c>
      <c r="I250" s="80">
        <f t="shared" si="54"/>
        <v>0</v>
      </c>
      <c r="J250" s="80">
        <f t="shared" si="54"/>
        <v>0</v>
      </c>
      <c r="K250" s="78"/>
      <c r="L250" s="78"/>
    </row>
    <row r="251" spans="1:12" x14ac:dyDescent="0.2">
      <c r="A251" s="79">
        <f t="shared" si="38"/>
        <v>0</v>
      </c>
      <c r="B251" s="79" t="s">
        <v>349</v>
      </c>
      <c r="C251" s="215"/>
      <c r="D251" s="80">
        <f t="shared" si="54"/>
        <v>0</v>
      </c>
      <c r="E251" s="80">
        <f t="shared" si="54"/>
        <v>0</v>
      </c>
      <c r="F251" s="80">
        <f t="shared" si="54"/>
        <v>0</v>
      </c>
      <c r="G251" s="80">
        <f t="shared" si="54"/>
        <v>0</v>
      </c>
      <c r="H251" s="80">
        <f t="shared" si="54"/>
        <v>0</v>
      </c>
      <c r="I251" s="80">
        <f t="shared" si="54"/>
        <v>0</v>
      </c>
      <c r="J251" s="80">
        <f t="shared" si="54"/>
        <v>0</v>
      </c>
      <c r="K251" s="78"/>
      <c r="L251" s="78"/>
    </row>
    <row r="252" spans="1:12" x14ac:dyDescent="0.2">
      <c r="A252" s="79">
        <f t="shared" si="38"/>
        <v>0</v>
      </c>
      <c r="B252" s="79" t="s">
        <v>349</v>
      </c>
      <c r="C252" s="215"/>
      <c r="D252" s="80">
        <f t="shared" si="54"/>
        <v>0</v>
      </c>
      <c r="E252" s="80">
        <f t="shared" si="54"/>
        <v>0</v>
      </c>
      <c r="F252" s="80">
        <f t="shared" si="54"/>
        <v>0</v>
      </c>
      <c r="G252" s="80">
        <f t="shared" si="54"/>
        <v>0</v>
      </c>
      <c r="H252" s="80">
        <f t="shared" si="54"/>
        <v>0</v>
      </c>
      <c r="I252" s="80">
        <f t="shared" si="54"/>
        <v>0</v>
      </c>
      <c r="J252" s="80">
        <f t="shared" si="54"/>
        <v>0</v>
      </c>
      <c r="K252" s="78"/>
      <c r="L252" s="78"/>
    </row>
    <row r="253" spans="1:12" x14ac:dyDescent="0.2">
      <c r="A253" s="79">
        <f t="shared" si="38"/>
        <v>0</v>
      </c>
      <c r="B253" s="79" t="s">
        <v>349</v>
      </c>
      <c r="C253" s="215"/>
      <c r="D253" s="80">
        <f t="shared" si="54"/>
        <v>0</v>
      </c>
      <c r="E253" s="80">
        <f t="shared" si="54"/>
        <v>0</v>
      </c>
      <c r="F253" s="80">
        <f t="shared" si="54"/>
        <v>0</v>
      </c>
      <c r="G253" s="80">
        <f t="shared" si="54"/>
        <v>0</v>
      </c>
      <c r="H253" s="80">
        <f t="shared" si="54"/>
        <v>0</v>
      </c>
      <c r="I253" s="80">
        <f t="shared" si="54"/>
        <v>0</v>
      </c>
      <c r="J253" s="80">
        <f t="shared" si="54"/>
        <v>0</v>
      </c>
      <c r="K253" s="78"/>
      <c r="L253" s="78"/>
    </row>
    <row r="254" spans="1:12" x14ac:dyDescent="0.2">
      <c r="A254" s="79">
        <f t="shared" si="38"/>
        <v>0</v>
      </c>
      <c r="B254" s="79" t="s">
        <v>349</v>
      </c>
      <c r="C254" s="215"/>
      <c r="D254" s="80">
        <f t="shared" si="54"/>
        <v>0</v>
      </c>
      <c r="E254" s="80">
        <f t="shared" si="54"/>
        <v>0</v>
      </c>
      <c r="F254" s="80">
        <f t="shared" si="54"/>
        <v>0</v>
      </c>
      <c r="G254" s="80">
        <f t="shared" si="54"/>
        <v>0</v>
      </c>
      <c r="H254" s="80">
        <f t="shared" si="54"/>
        <v>0</v>
      </c>
      <c r="I254" s="80">
        <f t="shared" si="54"/>
        <v>0</v>
      </c>
      <c r="J254" s="80">
        <f t="shared" si="54"/>
        <v>0</v>
      </c>
      <c r="K254" s="78"/>
      <c r="L254" s="78"/>
    </row>
    <row r="255" spans="1:12" x14ac:dyDescent="0.2">
      <c r="A255" s="79">
        <f t="shared" ref="A255:A274" si="55">A201</f>
        <v>0</v>
      </c>
      <c r="B255" s="79"/>
      <c r="C255" s="215"/>
      <c r="D255" s="80">
        <f t="shared" si="54"/>
        <v>0</v>
      </c>
      <c r="E255" s="80">
        <f t="shared" si="54"/>
        <v>0</v>
      </c>
      <c r="F255" s="80">
        <f t="shared" si="54"/>
        <v>0</v>
      </c>
      <c r="G255" s="80">
        <f t="shared" si="54"/>
        <v>0</v>
      </c>
      <c r="H255" s="80">
        <f t="shared" si="54"/>
        <v>0</v>
      </c>
      <c r="I255" s="80">
        <f t="shared" si="54"/>
        <v>0</v>
      </c>
      <c r="J255" s="80">
        <f t="shared" si="54"/>
        <v>0</v>
      </c>
      <c r="K255" s="78"/>
      <c r="L255" s="78"/>
    </row>
    <row r="256" spans="1:12" x14ac:dyDescent="0.2">
      <c r="A256" s="81" t="str">
        <f t="shared" si="55"/>
        <v>10 Grain Crop Production Details</v>
      </c>
      <c r="B256" s="79"/>
      <c r="C256" s="215"/>
      <c r="D256" s="80"/>
      <c r="E256" s="80"/>
      <c r="F256" s="80"/>
      <c r="G256" s="80"/>
      <c r="H256" s="80"/>
      <c r="I256" s="80"/>
      <c r="J256" s="80"/>
      <c r="K256" s="78"/>
      <c r="L256" s="78"/>
    </row>
    <row r="257" spans="1:12" x14ac:dyDescent="0.2">
      <c r="A257" s="79" t="str">
        <f t="shared" si="55"/>
        <v xml:space="preserve">Flax Seed </v>
      </c>
      <c r="B257" s="79" t="s">
        <v>349</v>
      </c>
      <c r="C257" s="215">
        <v>1800</v>
      </c>
      <c r="D257" s="80">
        <f t="shared" ref="D257:D274" si="56">B92*$C257*D$172</f>
        <v>145800</v>
      </c>
      <c r="E257" s="80">
        <f t="shared" ref="E257:E274" si="57">C92*$C257*E$172</f>
        <v>170100</v>
      </c>
      <c r="F257" s="80">
        <f t="shared" ref="F257:F274" si="58">D92*$C257*F$172</f>
        <v>196465.50000000003</v>
      </c>
      <c r="G257" s="80">
        <f t="shared" ref="G257:G274" si="59">E92*$C257*G$172</f>
        <v>225042.3000000001</v>
      </c>
      <c r="H257" s="80">
        <f t="shared" ref="H257:H274" si="60">F92*$C257*H$172</f>
        <v>255985.61625000011</v>
      </c>
      <c r="I257" s="80">
        <f t="shared" ref="I257:I274" si="61">G92*$C257*I$172</f>
        <v>289460.65837500017</v>
      </c>
      <c r="J257" s="80">
        <f t="shared" ref="J257:J274" si="62">H92*$C257*J$172</f>
        <v>325643.24067187525</v>
      </c>
      <c r="K257" s="78"/>
      <c r="L257" s="78"/>
    </row>
    <row r="258" spans="1:12" x14ac:dyDescent="0.2">
      <c r="A258" s="79" t="e">
        <f t="shared" si="55"/>
        <v>#REF!</v>
      </c>
      <c r="B258" s="79" t="s">
        <v>349</v>
      </c>
      <c r="C258" s="215">
        <v>800</v>
      </c>
      <c r="D258" s="80" t="e">
        <f t="shared" si="56"/>
        <v>#REF!</v>
      </c>
      <c r="E258" s="80" t="e">
        <f t="shared" si="57"/>
        <v>#REF!</v>
      </c>
      <c r="F258" s="80" t="e">
        <f t="shared" si="58"/>
        <v>#REF!</v>
      </c>
      <c r="G258" s="80" t="e">
        <f t="shared" si="59"/>
        <v>#REF!</v>
      </c>
      <c r="H258" s="80" t="e">
        <f t="shared" si="60"/>
        <v>#REF!</v>
      </c>
      <c r="I258" s="80" t="e">
        <f t="shared" si="61"/>
        <v>#REF!</v>
      </c>
      <c r="J258" s="80" t="e">
        <f t="shared" si="62"/>
        <v>#REF!</v>
      </c>
      <c r="K258" s="78"/>
      <c r="L258" s="78"/>
    </row>
    <row r="259" spans="1:12" x14ac:dyDescent="0.2">
      <c r="A259" s="79" t="e">
        <f t="shared" si="55"/>
        <v>#REF!</v>
      </c>
      <c r="B259" s="79" t="s">
        <v>349</v>
      </c>
      <c r="C259" s="215">
        <v>1300</v>
      </c>
      <c r="D259" s="80" t="e">
        <f t="shared" si="56"/>
        <v>#REF!</v>
      </c>
      <c r="E259" s="80" t="e">
        <f t="shared" si="57"/>
        <v>#REF!</v>
      </c>
      <c r="F259" s="80" t="e">
        <f t="shared" si="58"/>
        <v>#REF!</v>
      </c>
      <c r="G259" s="80" t="e">
        <f t="shared" si="59"/>
        <v>#REF!</v>
      </c>
      <c r="H259" s="80" t="e">
        <f t="shared" si="60"/>
        <v>#REF!</v>
      </c>
      <c r="I259" s="80" t="e">
        <f t="shared" si="61"/>
        <v>#REF!</v>
      </c>
      <c r="J259" s="80" t="e">
        <f t="shared" si="62"/>
        <v>#REF!</v>
      </c>
      <c r="K259" s="78"/>
      <c r="L259" s="78"/>
    </row>
    <row r="260" spans="1:12" x14ac:dyDescent="0.2">
      <c r="A260" s="79" t="str">
        <f t="shared" si="55"/>
        <v>Safflower</v>
      </c>
      <c r="B260" s="79" t="s">
        <v>349</v>
      </c>
      <c r="C260" s="215">
        <v>2800</v>
      </c>
      <c r="D260" s="80">
        <f t="shared" si="56"/>
        <v>113400</v>
      </c>
      <c r="E260" s="80">
        <f t="shared" si="57"/>
        <v>132300</v>
      </c>
      <c r="F260" s="80">
        <f t="shared" si="58"/>
        <v>152806.50000000003</v>
      </c>
      <c r="G260" s="80">
        <f t="shared" si="59"/>
        <v>175032.90000000005</v>
      </c>
      <c r="H260" s="80">
        <f t="shared" si="60"/>
        <v>199099.92375000007</v>
      </c>
      <c r="I260" s="80">
        <f t="shared" si="61"/>
        <v>225136.06762500011</v>
      </c>
      <c r="J260" s="80">
        <f t="shared" si="62"/>
        <v>253278.07607812519</v>
      </c>
      <c r="K260" s="78"/>
      <c r="L260" s="78"/>
    </row>
    <row r="261" spans="1:12" x14ac:dyDescent="0.2">
      <c r="A261" s="79" t="e">
        <f t="shared" si="55"/>
        <v>#REF!</v>
      </c>
      <c r="B261" s="79" t="s">
        <v>349</v>
      </c>
      <c r="C261" s="215">
        <v>1300</v>
      </c>
      <c r="D261" s="80" t="e">
        <f t="shared" si="56"/>
        <v>#REF!</v>
      </c>
      <c r="E261" s="80" t="e">
        <f t="shared" si="57"/>
        <v>#REF!</v>
      </c>
      <c r="F261" s="80" t="e">
        <f t="shared" si="58"/>
        <v>#REF!</v>
      </c>
      <c r="G261" s="80" t="e">
        <f t="shared" si="59"/>
        <v>#REF!</v>
      </c>
      <c r="H261" s="80" t="e">
        <f t="shared" si="60"/>
        <v>#REF!</v>
      </c>
      <c r="I261" s="80" t="e">
        <f t="shared" si="61"/>
        <v>#REF!</v>
      </c>
      <c r="J261" s="80" t="e">
        <f t="shared" si="62"/>
        <v>#REF!</v>
      </c>
      <c r="K261" s="78"/>
      <c r="L261" s="78"/>
    </row>
    <row r="262" spans="1:12" x14ac:dyDescent="0.2">
      <c r="A262" s="79" t="e">
        <f t="shared" si="55"/>
        <v>#REF!</v>
      </c>
      <c r="B262" s="79" t="s">
        <v>349</v>
      </c>
      <c r="C262" s="215"/>
      <c r="D262" s="80" t="e">
        <f t="shared" si="56"/>
        <v>#REF!</v>
      </c>
      <c r="E262" s="80" t="e">
        <f t="shared" si="57"/>
        <v>#REF!</v>
      </c>
      <c r="F262" s="80" t="e">
        <f t="shared" si="58"/>
        <v>#REF!</v>
      </c>
      <c r="G262" s="80" t="e">
        <f t="shared" si="59"/>
        <v>#REF!</v>
      </c>
      <c r="H262" s="80" t="e">
        <f t="shared" si="60"/>
        <v>#REF!</v>
      </c>
      <c r="I262" s="80" t="e">
        <f t="shared" si="61"/>
        <v>#REF!</v>
      </c>
      <c r="J262" s="80" t="e">
        <f t="shared" si="62"/>
        <v>#REF!</v>
      </c>
      <c r="K262" s="78"/>
      <c r="L262" s="78"/>
    </row>
    <row r="263" spans="1:12" x14ac:dyDescent="0.2">
      <c r="A263" s="79" t="e">
        <f t="shared" si="55"/>
        <v>#REF!</v>
      </c>
      <c r="B263" s="79" t="s">
        <v>349</v>
      </c>
      <c r="C263" s="215"/>
      <c r="D263" s="80" t="e">
        <f t="shared" si="56"/>
        <v>#REF!</v>
      </c>
      <c r="E263" s="80" t="e">
        <f t="shared" si="57"/>
        <v>#REF!</v>
      </c>
      <c r="F263" s="80" t="e">
        <f t="shared" si="58"/>
        <v>#REF!</v>
      </c>
      <c r="G263" s="80" t="e">
        <f t="shared" si="59"/>
        <v>#REF!</v>
      </c>
      <c r="H263" s="80" t="e">
        <f t="shared" si="60"/>
        <v>#REF!</v>
      </c>
      <c r="I263" s="80" t="e">
        <f t="shared" si="61"/>
        <v>#REF!</v>
      </c>
      <c r="J263" s="80" t="e">
        <f t="shared" si="62"/>
        <v>#REF!</v>
      </c>
      <c r="K263" s="78"/>
      <c r="L263" s="78"/>
    </row>
    <row r="264" spans="1:12" x14ac:dyDescent="0.2">
      <c r="A264" s="79" t="e">
        <f t="shared" si="55"/>
        <v>#REF!</v>
      </c>
      <c r="B264" s="79" t="s">
        <v>349</v>
      </c>
      <c r="C264" s="215"/>
      <c r="D264" s="80" t="e">
        <f t="shared" si="56"/>
        <v>#REF!</v>
      </c>
      <c r="E264" s="80" t="e">
        <f t="shared" si="57"/>
        <v>#REF!</v>
      </c>
      <c r="F264" s="80" t="e">
        <f t="shared" si="58"/>
        <v>#REF!</v>
      </c>
      <c r="G264" s="80" t="e">
        <f t="shared" si="59"/>
        <v>#REF!</v>
      </c>
      <c r="H264" s="80" t="e">
        <f t="shared" si="60"/>
        <v>#REF!</v>
      </c>
      <c r="I264" s="80" t="e">
        <f t="shared" si="61"/>
        <v>#REF!</v>
      </c>
      <c r="J264" s="80" t="e">
        <f t="shared" si="62"/>
        <v>#REF!</v>
      </c>
      <c r="K264" s="78"/>
      <c r="L264" s="78"/>
    </row>
    <row r="265" spans="1:12" x14ac:dyDescent="0.2">
      <c r="A265" s="79" t="e">
        <f t="shared" si="55"/>
        <v>#REF!</v>
      </c>
      <c r="B265" s="79" t="s">
        <v>349</v>
      </c>
      <c r="C265" s="215"/>
      <c r="D265" s="80" t="e">
        <f t="shared" si="56"/>
        <v>#REF!</v>
      </c>
      <c r="E265" s="80" t="e">
        <f t="shared" si="57"/>
        <v>#REF!</v>
      </c>
      <c r="F265" s="80" t="e">
        <f t="shared" si="58"/>
        <v>#REF!</v>
      </c>
      <c r="G265" s="80" t="e">
        <f t="shared" si="59"/>
        <v>#REF!</v>
      </c>
      <c r="H265" s="80" t="e">
        <f t="shared" si="60"/>
        <v>#REF!</v>
      </c>
      <c r="I265" s="80" t="e">
        <f t="shared" si="61"/>
        <v>#REF!</v>
      </c>
      <c r="J265" s="80" t="e">
        <f t="shared" si="62"/>
        <v>#REF!</v>
      </c>
      <c r="K265" s="78"/>
      <c r="L265" s="78"/>
    </row>
    <row r="266" spans="1:12" x14ac:dyDescent="0.2">
      <c r="A266" s="79" t="e">
        <f t="shared" si="55"/>
        <v>#REF!</v>
      </c>
      <c r="B266" s="79" t="s">
        <v>349</v>
      </c>
      <c r="C266" s="215">
        <v>1800</v>
      </c>
      <c r="D266" s="80" t="e">
        <f t="shared" si="56"/>
        <v>#REF!</v>
      </c>
      <c r="E266" s="80" t="e">
        <f t="shared" si="57"/>
        <v>#REF!</v>
      </c>
      <c r="F266" s="80" t="e">
        <f t="shared" si="58"/>
        <v>#REF!</v>
      </c>
      <c r="G266" s="80" t="e">
        <f t="shared" si="59"/>
        <v>#REF!</v>
      </c>
      <c r="H266" s="80" t="e">
        <f t="shared" si="60"/>
        <v>#REF!</v>
      </c>
      <c r="I266" s="80" t="e">
        <f t="shared" si="61"/>
        <v>#REF!</v>
      </c>
      <c r="J266" s="80" t="e">
        <f t="shared" si="62"/>
        <v>#REF!</v>
      </c>
      <c r="K266" s="78"/>
      <c r="L266" s="78"/>
    </row>
    <row r="267" spans="1:12" x14ac:dyDescent="0.2">
      <c r="A267" s="79" t="e">
        <f t="shared" si="55"/>
        <v>#REF!</v>
      </c>
      <c r="B267" s="79" t="s">
        <v>349</v>
      </c>
      <c r="C267" s="215">
        <v>800</v>
      </c>
      <c r="D267" s="80" t="e">
        <f t="shared" si="56"/>
        <v>#REF!</v>
      </c>
      <c r="E267" s="80" t="e">
        <f t="shared" si="57"/>
        <v>#REF!</v>
      </c>
      <c r="F267" s="80" t="e">
        <f t="shared" si="58"/>
        <v>#REF!</v>
      </c>
      <c r="G267" s="80" t="e">
        <f t="shared" si="59"/>
        <v>#REF!</v>
      </c>
      <c r="H267" s="80" t="e">
        <f t="shared" si="60"/>
        <v>#REF!</v>
      </c>
      <c r="I267" s="80" t="e">
        <f t="shared" si="61"/>
        <v>#REF!</v>
      </c>
      <c r="J267" s="80" t="e">
        <f t="shared" si="62"/>
        <v>#REF!</v>
      </c>
      <c r="K267" s="78"/>
      <c r="L267" s="78"/>
    </row>
    <row r="268" spans="1:12" x14ac:dyDescent="0.2">
      <c r="A268" s="79" t="e">
        <f t="shared" si="55"/>
        <v>#REF!</v>
      </c>
      <c r="B268" s="79" t="s">
        <v>349</v>
      </c>
      <c r="C268" s="215">
        <v>1300</v>
      </c>
      <c r="D268" s="80" t="e">
        <f t="shared" si="56"/>
        <v>#REF!</v>
      </c>
      <c r="E268" s="80" t="e">
        <f t="shared" si="57"/>
        <v>#REF!</v>
      </c>
      <c r="F268" s="80" t="e">
        <f t="shared" si="58"/>
        <v>#REF!</v>
      </c>
      <c r="G268" s="80" t="e">
        <f t="shared" si="59"/>
        <v>#REF!</v>
      </c>
      <c r="H268" s="80" t="e">
        <f t="shared" si="60"/>
        <v>#REF!</v>
      </c>
      <c r="I268" s="80" t="e">
        <f t="shared" si="61"/>
        <v>#REF!</v>
      </c>
      <c r="J268" s="80" t="e">
        <f t="shared" si="62"/>
        <v>#REF!</v>
      </c>
      <c r="K268" s="78"/>
      <c r="L268" s="78"/>
    </row>
    <row r="269" spans="1:12" x14ac:dyDescent="0.2">
      <c r="A269" s="79" t="e">
        <f t="shared" si="55"/>
        <v>#REF!</v>
      </c>
      <c r="B269" s="79" t="s">
        <v>349</v>
      </c>
      <c r="C269" s="215">
        <v>2800</v>
      </c>
      <c r="D269" s="80" t="e">
        <f t="shared" si="56"/>
        <v>#REF!</v>
      </c>
      <c r="E269" s="80" t="e">
        <f t="shared" si="57"/>
        <v>#REF!</v>
      </c>
      <c r="F269" s="80" t="e">
        <f t="shared" si="58"/>
        <v>#REF!</v>
      </c>
      <c r="G269" s="80" t="e">
        <f t="shared" si="59"/>
        <v>#REF!</v>
      </c>
      <c r="H269" s="80" t="e">
        <f t="shared" si="60"/>
        <v>#REF!</v>
      </c>
      <c r="I269" s="80" t="e">
        <f t="shared" si="61"/>
        <v>#REF!</v>
      </c>
      <c r="J269" s="80" t="e">
        <f t="shared" si="62"/>
        <v>#REF!</v>
      </c>
      <c r="K269" s="78"/>
      <c r="L269" s="78"/>
    </row>
    <row r="270" spans="1:12" x14ac:dyDescent="0.2">
      <c r="A270" s="79" t="e">
        <f t="shared" si="55"/>
        <v>#REF!</v>
      </c>
      <c r="B270" s="79" t="s">
        <v>349</v>
      </c>
      <c r="C270" s="215">
        <v>1800</v>
      </c>
      <c r="D270" s="80" t="e">
        <f t="shared" si="56"/>
        <v>#REF!</v>
      </c>
      <c r="E270" s="80" t="e">
        <f t="shared" si="57"/>
        <v>#REF!</v>
      </c>
      <c r="F270" s="80" t="e">
        <f t="shared" si="58"/>
        <v>#REF!</v>
      </c>
      <c r="G270" s="80" t="e">
        <f t="shared" si="59"/>
        <v>#REF!</v>
      </c>
      <c r="H270" s="80" t="e">
        <f t="shared" si="60"/>
        <v>#REF!</v>
      </c>
      <c r="I270" s="80" t="e">
        <f t="shared" si="61"/>
        <v>#REF!</v>
      </c>
      <c r="J270" s="80" t="e">
        <f t="shared" si="62"/>
        <v>#REF!</v>
      </c>
      <c r="K270" s="78"/>
      <c r="L270" s="78"/>
    </row>
    <row r="271" spans="1:12" x14ac:dyDescent="0.2">
      <c r="A271" s="79" t="e">
        <f t="shared" si="55"/>
        <v>#REF!</v>
      </c>
      <c r="B271" s="79" t="s">
        <v>349</v>
      </c>
      <c r="C271" s="215"/>
      <c r="D271" s="80" t="e">
        <f t="shared" si="56"/>
        <v>#REF!</v>
      </c>
      <c r="E271" s="80" t="e">
        <f t="shared" si="57"/>
        <v>#REF!</v>
      </c>
      <c r="F271" s="80" t="e">
        <f t="shared" si="58"/>
        <v>#REF!</v>
      </c>
      <c r="G271" s="80" t="e">
        <f t="shared" si="59"/>
        <v>#REF!</v>
      </c>
      <c r="H271" s="80" t="e">
        <f t="shared" si="60"/>
        <v>#REF!</v>
      </c>
      <c r="I271" s="80" t="e">
        <f t="shared" si="61"/>
        <v>#REF!</v>
      </c>
      <c r="J271" s="80" t="e">
        <f t="shared" si="62"/>
        <v>#REF!</v>
      </c>
      <c r="K271" s="78"/>
      <c r="L271" s="78"/>
    </row>
    <row r="272" spans="1:12" x14ac:dyDescent="0.2">
      <c r="A272" s="79" t="e">
        <f t="shared" si="55"/>
        <v>#REF!</v>
      </c>
      <c r="B272" s="79" t="s">
        <v>349</v>
      </c>
      <c r="C272" s="215"/>
      <c r="D272" s="80" t="e">
        <f t="shared" si="56"/>
        <v>#REF!</v>
      </c>
      <c r="E272" s="80" t="e">
        <f t="shared" si="57"/>
        <v>#REF!</v>
      </c>
      <c r="F272" s="80" t="e">
        <f t="shared" si="58"/>
        <v>#REF!</v>
      </c>
      <c r="G272" s="80" t="e">
        <f t="shared" si="59"/>
        <v>#REF!</v>
      </c>
      <c r="H272" s="80" t="e">
        <f t="shared" si="60"/>
        <v>#REF!</v>
      </c>
      <c r="I272" s="80" t="e">
        <f t="shared" si="61"/>
        <v>#REF!</v>
      </c>
      <c r="J272" s="80" t="e">
        <f t="shared" si="62"/>
        <v>#REF!</v>
      </c>
      <c r="K272" s="78"/>
      <c r="L272" s="78"/>
    </row>
    <row r="273" spans="1:12" x14ac:dyDescent="0.2">
      <c r="A273" s="79" t="e">
        <f t="shared" si="55"/>
        <v>#REF!</v>
      </c>
      <c r="B273" s="79" t="s">
        <v>349</v>
      </c>
      <c r="C273" s="215"/>
      <c r="D273" s="80" t="e">
        <f t="shared" si="56"/>
        <v>#REF!</v>
      </c>
      <c r="E273" s="80" t="e">
        <f t="shared" si="57"/>
        <v>#REF!</v>
      </c>
      <c r="F273" s="80" t="e">
        <f t="shared" si="58"/>
        <v>#REF!</v>
      </c>
      <c r="G273" s="80" t="e">
        <f t="shared" si="59"/>
        <v>#REF!</v>
      </c>
      <c r="H273" s="80" t="e">
        <f t="shared" si="60"/>
        <v>#REF!</v>
      </c>
      <c r="I273" s="80" t="e">
        <f t="shared" si="61"/>
        <v>#REF!</v>
      </c>
      <c r="J273" s="80" t="e">
        <f t="shared" si="62"/>
        <v>#REF!</v>
      </c>
      <c r="K273" s="78"/>
      <c r="L273" s="78"/>
    </row>
    <row r="274" spans="1:12" x14ac:dyDescent="0.2">
      <c r="A274" s="79" t="e">
        <f t="shared" si="55"/>
        <v>#REF!</v>
      </c>
      <c r="B274" s="79" t="s">
        <v>349</v>
      </c>
      <c r="C274" s="215"/>
      <c r="D274" s="80" t="e">
        <f t="shared" si="56"/>
        <v>#REF!</v>
      </c>
      <c r="E274" s="80" t="e">
        <f t="shared" si="57"/>
        <v>#REF!</v>
      </c>
      <c r="F274" s="80" t="e">
        <f t="shared" si="58"/>
        <v>#REF!</v>
      </c>
      <c r="G274" s="80" t="e">
        <f t="shared" si="59"/>
        <v>#REF!</v>
      </c>
      <c r="H274" s="80" t="e">
        <f t="shared" si="60"/>
        <v>#REF!</v>
      </c>
      <c r="I274" s="80" t="e">
        <f t="shared" si="61"/>
        <v>#REF!</v>
      </c>
      <c r="J274" s="80" t="e">
        <f t="shared" si="62"/>
        <v>#REF!</v>
      </c>
      <c r="K274" s="78"/>
      <c r="L274" s="78"/>
    </row>
    <row r="275" spans="1:12" x14ac:dyDescent="0.2">
      <c r="A275" s="79" t="e">
        <f>A224</f>
        <v>#REF!</v>
      </c>
      <c r="B275" s="79" t="s">
        <v>349</v>
      </c>
      <c r="C275" s="215">
        <v>4700</v>
      </c>
      <c r="D275" s="80" t="e">
        <f t="shared" ref="D275:J280" si="63">B113*$C275*D$172</f>
        <v>#REF!</v>
      </c>
      <c r="E275" s="80" t="e">
        <f t="shared" si="63"/>
        <v>#REF!</v>
      </c>
      <c r="F275" s="80" t="e">
        <f t="shared" si="63"/>
        <v>#REF!</v>
      </c>
      <c r="G275" s="80" t="e">
        <f t="shared" si="63"/>
        <v>#REF!</v>
      </c>
      <c r="H275" s="80" t="e">
        <f t="shared" si="63"/>
        <v>#REF!</v>
      </c>
      <c r="I275" s="80" t="e">
        <f t="shared" si="63"/>
        <v>#REF!</v>
      </c>
      <c r="J275" s="80" t="e">
        <f t="shared" si="63"/>
        <v>#REF!</v>
      </c>
      <c r="K275" s="78"/>
      <c r="L275" s="78"/>
    </row>
    <row r="276" spans="1:12" x14ac:dyDescent="0.2">
      <c r="A276" s="79" t="e">
        <f>A225</f>
        <v>#REF!</v>
      </c>
      <c r="B276" s="79" t="s">
        <v>349</v>
      </c>
      <c r="C276" s="215"/>
      <c r="D276" s="80" t="e">
        <f t="shared" si="63"/>
        <v>#REF!</v>
      </c>
      <c r="E276" s="80" t="e">
        <f t="shared" si="63"/>
        <v>#REF!</v>
      </c>
      <c r="F276" s="80" t="e">
        <f t="shared" si="63"/>
        <v>#REF!</v>
      </c>
      <c r="G276" s="80" t="e">
        <f t="shared" si="63"/>
        <v>#REF!</v>
      </c>
      <c r="H276" s="80" t="e">
        <f t="shared" si="63"/>
        <v>#REF!</v>
      </c>
      <c r="I276" s="80" t="e">
        <f t="shared" si="63"/>
        <v>#REF!</v>
      </c>
      <c r="J276" s="80" t="e">
        <f t="shared" si="63"/>
        <v>#REF!</v>
      </c>
      <c r="K276" s="78"/>
      <c r="L276" s="78"/>
    </row>
    <row r="277" spans="1:12" x14ac:dyDescent="0.2">
      <c r="A277" s="79" t="e">
        <f>A226</f>
        <v>#REF!</v>
      </c>
      <c r="B277" s="79" t="s">
        <v>349</v>
      </c>
      <c r="C277" s="215"/>
      <c r="D277" s="80" t="e">
        <f t="shared" si="63"/>
        <v>#REF!</v>
      </c>
      <c r="E277" s="80" t="e">
        <f t="shared" si="63"/>
        <v>#REF!</v>
      </c>
      <c r="F277" s="80" t="e">
        <f t="shared" si="63"/>
        <v>#REF!</v>
      </c>
      <c r="G277" s="80" t="e">
        <f t="shared" si="63"/>
        <v>#REF!</v>
      </c>
      <c r="H277" s="80" t="e">
        <f t="shared" si="63"/>
        <v>#REF!</v>
      </c>
      <c r="I277" s="80" t="e">
        <f t="shared" si="63"/>
        <v>#REF!</v>
      </c>
      <c r="J277" s="80" t="e">
        <f t="shared" si="63"/>
        <v>#REF!</v>
      </c>
      <c r="K277" s="78"/>
      <c r="L277" s="78"/>
    </row>
    <row r="278" spans="1:12" x14ac:dyDescent="0.2">
      <c r="A278" s="79" t="e">
        <f>A227</f>
        <v>#REF!</v>
      </c>
      <c r="B278" s="79" t="s">
        <v>349</v>
      </c>
      <c r="C278" s="215"/>
      <c r="D278" s="80" t="e">
        <f t="shared" si="63"/>
        <v>#REF!</v>
      </c>
      <c r="E278" s="80" t="e">
        <f t="shared" si="63"/>
        <v>#REF!</v>
      </c>
      <c r="F278" s="80" t="e">
        <f t="shared" si="63"/>
        <v>#REF!</v>
      </c>
      <c r="G278" s="80" t="e">
        <f t="shared" si="63"/>
        <v>#REF!</v>
      </c>
      <c r="H278" s="80" t="e">
        <f t="shared" si="63"/>
        <v>#REF!</v>
      </c>
      <c r="I278" s="80" t="e">
        <f t="shared" si="63"/>
        <v>#REF!</v>
      </c>
      <c r="J278" s="80" t="e">
        <f t="shared" si="63"/>
        <v>#REF!</v>
      </c>
      <c r="K278" s="78"/>
      <c r="L278" s="78"/>
    </row>
    <row r="279" spans="1:12" x14ac:dyDescent="0.2">
      <c r="A279" s="79">
        <f>A228</f>
        <v>0</v>
      </c>
      <c r="B279" s="79" t="s">
        <v>349</v>
      </c>
      <c r="C279" s="215"/>
      <c r="D279" s="80">
        <f t="shared" si="63"/>
        <v>0</v>
      </c>
      <c r="E279" s="80">
        <f t="shared" si="63"/>
        <v>0</v>
      </c>
      <c r="F279" s="80">
        <f t="shared" si="63"/>
        <v>0</v>
      </c>
      <c r="G279" s="80">
        <f t="shared" si="63"/>
        <v>0</v>
      </c>
      <c r="H279" s="80">
        <f t="shared" si="63"/>
        <v>0</v>
      </c>
      <c r="I279" s="80">
        <f t="shared" si="63"/>
        <v>0</v>
      </c>
      <c r="J279" s="80">
        <f t="shared" si="63"/>
        <v>0</v>
      </c>
      <c r="K279" s="78"/>
      <c r="L279" s="78"/>
    </row>
    <row r="280" spans="1:12" x14ac:dyDescent="0.2">
      <c r="A280" s="79">
        <f>A230</f>
        <v>0</v>
      </c>
      <c r="B280" s="79"/>
      <c r="C280" s="215"/>
      <c r="D280" s="80">
        <f t="shared" si="63"/>
        <v>0</v>
      </c>
      <c r="E280" s="80">
        <f t="shared" si="63"/>
        <v>0</v>
      </c>
      <c r="F280" s="80">
        <f t="shared" si="63"/>
        <v>0</v>
      </c>
      <c r="G280" s="80">
        <f t="shared" si="63"/>
        <v>0</v>
      </c>
      <c r="H280" s="80">
        <f t="shared" si="63"/>
        <v>0</v>
      </c>
      <c r="I280" s="80">
        <f t="shared" si="63"/>
        <v>0</v>
      </c>
      <c r="J280" s="80">
        <f t="shared" si="63"/>
        <v>0</v>
      </c>
      <c r="K280" s="78"/>
      <c r="L280" s="78"/>
    </row>
    <row r="281" spans="1:12" x14ac:dyDescent="0.2">
      <c r="A281" s="79"/>
      <c r="B281" s="79"/>
      <c r="C281" s="215"/>
      <c r="D281" s="80"/>
      <c r="E281" s="80"/>
      <c r="F281" s="80"/>
      <c r="G281" s="80"/>
      <c r="H281" s="80"/>
      <c r="I281" s="80"/>
      <c r="J281" s="80"/>
      <c r="K281" s="78"/>
      <c r="L281" s="78"/>
    </row>
    <row r="282" spans="1:12" x14ac:dyDescent="0.2">
      <c r="A282" s="79" t="s">
        <v>302</v>
      </c>
      <c r="B282" s="192">
        <v>5</v>
      </c>
      <c r="C282" s="192">
        <v>300</v>
      </c>
      <c r="D282" s="80">
        <f t="shared" ref="D282:J282" si="64">B10*$B$282*$C$282*D172</f>
        <v>3.28125</v>
      </c>
      <c r="E282" s="80">
        <f t="shared" si="64"/>
        <v>3.9374999999999991</v>
      </c>
      <c r="F282" s="80">
        <f t="shared" si="64"/>
        <v>4.6511718750000002</v>
      </c>
      <c r="G282" s="80">
        <f t="shared" si="64"/>
        <v>5.4263671874999995</v>
      </c>
      <c r="H282" s="80">
        <f t="shared" si="64"/>
        <v>6.2674541015625005</v>
      </c>
      <c r="I282" s="80">
        <f t="shared" si="64"/>
        <v>7.1790837890625019</v>
      </c>
      <c r="J282" s="80">
        <f t="shared" si="64"/>
        <v>8.1662078100585962</v>
      </c>
      <c r="K282" s="78"/>
      <c r="L282" s="78"/>
    </row>
    <row r="283" spans="1:12" x14ac:dyDescent="0.2">
      <c r="A283" s="79" t="s">
        <v>139</v>
      </c>
      <c r="B283" s="79">
        <f>'2.Capex Details'!H55*0.746*8</f>
        <v>0</v>
      </c>
      <c r="C283" s="192">
        <v>8</v>
      </c>
      <c r="D283" s="80">
        <f t="shared" ref="D283:J283" si="65">$B$283*$C$283*D172*B10</f>
        <v>0</v>
      </c>
      <c r="E283" s="80">
        <f t="shared" si="65"/>
        <v>0</v>
      </c>
      <c r="F283" s="80">
        <f t="shared" si="65"/>
        <v>0</v>
      </c>
      <c r="G283" s="80">
        <f t="shared" si="65"/>
        <v>0</v>
      </c>
      <c r="H283" s="80">
        <f t="shared" si="65"/>
        <v>0</v>
      </c>
      <c r="I283" s="80">
        <f t="shared" si="65"/>
        <v>0</v>
      </c>
      <c r="J283" s="80">
        <f t="shared" si="65"/>
        <v>0</v>
      </c>
      <c r="K283" s="78"/>
      <c r="L283" s="78"/>
    </row>
    <row r="284" spans="1:12" x14ac:dyDescent="0.2">
      <c r="A284" s="79" t="s">
        <v>447</v>
      </c>
      <c r="B284" s="79"/>
      <c r="C284" s="192">
        <v>30</v>
      </c>
      <c r="D284" s="80" t="e">
        <f t="shared" ref="D284:J284" si="66">SUM(B120:B141)*$C$284*D172</f>
        <v>#VALUE!</v>
      </c>
      <c r="E284" s="80" t="e">
        <f t="shared" si="66"/>
        <v>#VALUE!</v>
      </c>
      <c r="F284" s="80" t="e">
        <f t="shared" si="66"/>
        <v>#VALUE!</v>
      </c>
      <c r="G284" s="80" t="e">
        <f t="shared" si="66"/>
        <v>#VALUE!</v>
      </c>
      <c r="H284" s="80" t="e">
        <f t="shared" si="66"/>
        <v>#VALUE!</v>
      </c>
      <c r="I284" s="80" t="e">
        <f t="shared" si="66"/>
        <v>#VALUE!</v>
      </c>
      <c r="J284" s="80" t="e">
        <f t="shared" si="66"/>
        <v>#VALUE!</v>
      </c>
      <c r="K284" s="78"/>
      <c r="L284" s="78"/>
    </row>
    <row r="285" spans="1:12" x14ac:dyDescent="0.2">
      <c r="A285" s="79" t="s">
        <v>446</v>
      </c>
      <c r="B285" s="79"/>
      <c r="C285" s="192">
        <v>30</v>
      </c>
      <c r="D285" s="80" t="e">
        <f t="shared" ref="D285:J285" si="67">SUM(B120:B141)*$C$285*D172</f>
        <v>#VALUE!</v>
      </c>
      <c r="E285" s="80" t="e">
        <f t="shared" si="67"/>
        <v>#VALUE!</v>
      </c>
      <c r="F285" s="80" t="e">
        <f t="shared" si="67"/>
        <v>#VALUE!</v>
      </c>
      <c r="G285" s="80" t="e">
        <f t="shared" si="67"/>
        <v>#VALUE!</v>
      </c>
      <c r="H285" s="80" t="e">
        <f t="shared" si="67"/>
        <v>#VALUE!</v>
      </c>
      <c r="I285" s="80" t="e">
        <f t="shared" si="67"/>
        <v>#VALUE!</v>
      </c>
      <c r="J285" s="80" t="e">
        <f t="shared" si="67"/>
        <v>#VALUE!</v>
      </c>
      <c r="K285" s="78"/>
      <c r="L285" s="78"/>
    </row>
    <row r="286" spans="1:12" x14ac:dyDescent="0.2">
      <c r="A286" s="10"/>
      <c r="B286" s="10"/>
      <c r="C286" s="10"/>
      <c r="D286" s="10"/>
      <c r="E286" s="10"/>
      <c r="F286" s="10"/>
      <c r="G286" s="10"/>
      <c r="H286" s="10"/>
      <c r="I286" s="10"/>
      <c r="J286" s="10"/>
      <c r="K286" s="78"/>
      <c r="L286" s="78"/>
    </row>
    <row r="287" spans="1:12" x14ac:dyDescent="0.2">
      <c r="A287" s="10"/>
      <c r="B287" s="10"/>
      <c r="C287" s="10"/>
      <c r="D287" s="10"/>
      <c r="E287" s="10"/>
      <c r="F287" s="10"/>
      <c r="G287" s="10"/>
      <c r="H287" s="10"/>
      <c r="I287" s="10"/>
      <c r="J287" s="10"/>
      <c r="K287" s="78"/>
      <c r="L287" s="78"/>
    </row>
    <row r="288" spans="1:12" x14ac:dyDescent="0.2">
      <c r="A288" s="10"/>
      <c r="B288" s="10"/>
      <c r="C288" s="10"/>
      <c r="D288" s="10"/>
      <c r="E288" s="10"/>
      <c r="F288" s="10"/>
      <c r="G288" s="10"/>
      <c r="H288" s="10"/>
      <c r="I288" s="10"/>
      <c r="J288" s="10"/>
      <c r="K288" s="78"/>
      <c r="L288" s="78"/>
    </row>
    <row r="289" spans="1:20" x14ac:dyDescent="0.2">
      <c r="A289" s="83" t="s">
        <v>329</v>
      </c>
      <c r="B289" s="79"/>
      <c r="C289" s="79"/>
      <c r="D289" s="162"/>
      <c r="E289" s="162">
        <f>'5.Closing Stock &amp; W Capital'!F7</f>
        <v>0</v>
      </c>
      <c r="F289" s="162">
        <f>'5.Closing Stock &amp; W Capital'!G7</f>
        <v>0</v>
      </c>
      <c r="G289" s="162">
        <f>'5.Closing Stock &amp; W Capital'!H7</f>
        <v>0</v>
      </c>
      <c r="H289" s="162">
        <f>'5.Closing Stock &amp; W Capital'!I7</f>
        <v>0</v>
      </c>
      <c r="I289" s="162">
        <f>'5.Closing Stock &amp; W Capital'!J7</f>
        <v>0</v>
      </c>
      <c r="J289" s="162">
        <f>'5.Closing Stock &amp; W Capital'!K7</f>
        <v>0</v>
      </c>
      <c r="K289" s="78"/>
      <c r="L289" s="78"/>
    </row>
    <row r="290" spans="1:20" x14ac:dyDescent="0.2">
      <c r="A290" s="83" t="s">
        <v>330</v>
      </c>
      <c r="B290" s="79"/>
      <c r="C290" s="162"/>
      <c r="D290" s="162">
        <f>'5.Closing Stock &amp; W Capital'!E16</f>
        <v>0</v>
      </c>
      <c r="E290" s="162">
        <f>'5.Closing Stock &amp; W Capital'!F16</f>
        <v>0</v>
      </c>
      <c r="F290" s="162">
        <f>'5.Closing Stock &amp; W Capital'!G16</f>
        <v>0</v>
      </c>
      <c r="G290" s="162">
        <f>'5.Closing Stock &amp; W Capital'!H16</f>
        <v>0</v>
      </c>
      <c r="H290" s="162">
        <f>'5.Closing Stock &amp; W Capital'!I16</f>
        <v>0</v>
      </c>
      <c r="I290" s="162">
        <f>'5.Closing Stock &amp; W Capital'!J16</f>
        <v>0</v>
      </c>
      <c r="J290" s="162">
        <f>'5.Closing Stock &amp; W Capital'!K16</f>
        <v>0</v>
      </c>
      <c r="K290" s="78"/>
      <c r="L290" s="78"/>
    </row>
    <row r="291" spans="1:20" x14ac:dyDescent="0.2">
      <c r="A291" s="83"/>
      <c r="B291" s="79"/>
      <c r="C291" s="165"/>
      <c r="D291" s="162"/>
      <c r="E291" s="162"/>
      <c r="F291" s="162"/>
      <c r="G291" s="162"/>
      <c r="H291" s="162"/>
      <c r="I291" s="162"/>
      <c r="J291" s="162"/>
      <c r="K291" s="78"/>
      <c r="L291" s="78"/>
      <c r="M291" s="78"/>
      <c r="N291" s="78"/>
      <c r="O291" s="78"/>
      <c r="P291" s="78"/>
      <c r="Q291" s="78"/>
      <c r="R291" s="78"/>
      <c r="S291" s="78"/>
      <c r="T291" s="78"/>
    </row>
    <row r="292" spans="1:20" x14ac:dyDescent="0.2">
      <c r="A292" s="81" t="s">
        <v>308</v>
      </c>
      <c r="B292" s="81"/>
      <c r="C292" s="81"/>
      <c r="D292" s="97" t="e">
        <f t="shared" ref="D292:J292" si="68">SUM(D233:D289)-D290</f>
        <v>#VALUE!</v>
      </c>
      <c r="E292" s="97" t="e">
        <f t="shared" si="68"/>
        <v>#VALUE!</v>
      </c>
      <c r="F292" s="97" t="e">
        <f t="shared" si="68"/>
        <v>#VALUE!</v>
      </c>
      <c r="G292" s="97" t="e">
        <f t="shared" si="68"/>
        <v>#VALUE!</v>
      </c>
      <c r="H292" s="97" t="e">
        <f t="shared" si="68"/>
        <v>#VALUE!</v>
      </c>
      <c r="I292" s="97" t="e">
        <f t="shared" si="68"/>
        <v>#VALUE!</v>
      </c>
      <c r="J292" s="97" t="e">
        <f t="shared" si="68"/>
        <v>#VALUE!</v>
      </c>
      <c r="K292" s="78"/>
      <c r="L292" s="78"/>
      <c r="M292" s="78"/>
      <c r="N292" s="78"/>
      <c r="O292" s="78"/>
      <c r="P292" s="78"/>
      <c r="Q292" s="78"/>
      <c r="R292" s="78"/>
      <c r="S292" s="78"/>
      <c r="T292" s="78"/>
    </row>
    <row r="293" spans="1:20" x14ac:dyDescent="0.2">
      <c r="A293" s="81" t="s">
        <v>299</v>
      </c>
      <c r="B293" s="79"/>
      <c r="C293" s="79"/>
      <c r="D293" s="92"/>
      <c r="E293" s="92"/>
      <c r="F293" s="92"/>
      <c r="G293" s="92"/>
      <c r="H293" s="92"/>
      <c r="I293" s="79"/>
      <c r="J293" s="79"/>
      <c r="K293" s="78"/>
      <c r="L293" s="78"/>
      <c r="M293" s="78"/>
      <c r="N293" s="78"/>
      <c r="O293" s="78"/>
      <c r="P293" s="78"/>
      <c r="Q293" s="78"/>
      <c r="R293" s="78"/>
      <c r="S293" s="78"/>
      <c r="T293" s="78"/>
    </row>
    <row r="294" spans="1:20" x14ac:dyDescent="0.2">
      <c r="A294" s="79" t="s">
        <v>182</v>
      </c>
      <c r="B294" s="192">
        <v>1</v>
      </c>
      <c r="C294" s="215"/>
      <c r="D294" s="80">
        <f t="shared" ref="D294:J294" si="69">$B$294*$C$294*12*D172</f>
        <v>0</v>
      </c>
      <c r="E294" s="80">
        <f t="shared" si="69"/>
        <v>0</v>
      </c>
      <c r="F294" s="80">
        <f t="shared" si="69"/>
        <v>0</v>
      </c>
      <c r="G294" s="80">
        <f t="shared" si="69"/>
        <v>0</v>
      </c>
      <c r="H294" s="80">
        <f t="shared" si="69"/>
        <v>0</v>
      </c>
      <c r="I294" s="80">
        <f t="shared" si="69"/>
        <v>0</v>
      </c>
      <c r="J294" s="80">
        <f t="shared" si="69"/>
        <v>0</v>
      </c>
      <c r="K294" s="78"/>
      <c r="L294" s="78"/>
      <c r="M294" s="78"/>
      <c r="N294" s="78"/>
      <c r="O294" s="78"/>
      <c r="P294" s="78"/>
      <c r="Q294" s="78"/>
      <c r="R294" s="78"/>
      <c r="S294" s="78"/>
      <c r="T294" s="78"/>
    </row>
    <row r="295" spans="1:20" x14ac:dyDescent="0.2">
      <c r="A295" s="79"/>
      <c r="B295" s="192"/>
      <c r="C295" s="215"/>
      <c r="D295" s="80"/>
      <c r="E295" s="80"/>
      <c r="F295" s="80"/>
      <c r="G295" s="80"/>
      <c r="H295" s="80"/>
      <c r="I295" s="80"/>
      <c r="J295" s="80"/>
      <c r="K295" s="78"/>
      <c r="L295" s="78"/>
      <c r="M295" s="78"/>
      <c r="N295" s="166"/>
      <c r="O295" s="78"/>
      <c r="P295" s="78"/>
      <c r="Q295" s="78"/>
      <c r="R295" s="78"/>
      <c r="S295" s="78"/>
      <c r="T295" s="78"/>
    </row>
    <row r="296" spans="1:20" x14ac:dyDescent="0.2">
      <c r="A296" s="79"/>
      <c r="B296" s="192"/>
      <c r="C296" s="215"/>
      <c r="D296" s="80"/>
      <c r="E296" s="80"/>
      <c r="F296" s="80"/>
      <c r="G296" s="80"/>
      <c r="H296" s="80"/>
      <c r="I296" s="80"/>
      <c r="J296" s="80"/>
      <c r="K296" s="78"/>
      <c r="L296" s="78"/>
      <c r="M296" s="78"/>
      <c r="N296" s="78"/>
      <c r="O296" s="78"/>
      <c r="P296" s="78"/>
      <c r="Q296" s="78"/>
      <c r="R296" s="78"/>
      <c r="S296" s="78"/>
      <c r="T296" s="78"/>
    </row>
    <row r="297" spans="1:20" x14ac:dyDescent="0.2">
      <c r="A297" s="79"/>
      <c r="B297" s="192"/>
      <c r="C297" s="215"/>
      <c r="D297" s="80"/>
      <c r="E297" s="80"/>
      <c r="F297" s="80"/>
      <c r="G297" s="80"/>
      <c r="H297" s="80"/>
      <c r="I297" s="80"/>
      <c r="J297" s="80"/>
      <c r="K297" s="78"/>
      <c r="L297" s="78"/>
      <c r="M297" s="78"/>
      <c r="N297" s="78"/>
      <c r="O297" s="78"/>
      <c r="P297" s="78"/>
      <c r="Q297" s="78"/>
      <c r="R297" s="78"/>
      <c r="S297" s="78"/>
      <c r="T297" s="78"/>
    </row>
    <row r="298" spans="1:20" x14ac:dyDescent="0.2">
      <c r="A298" s="79"/>
      <c r="B298" s="192"/>
      <c r="C298" s="215"/>
      <c r="D298" s="80"/>
      <c r="E298" s="80"/>
      <c r="F298" s="80"/>
      <c r="G298" s="80"/>
      <c r="H298" s="80"/>
      <c r="I298" s="80"/>
      <c r="J298" s="80"/>
      <c r="K298" s="78"/>
      <c r="L298" s="78"/>
      <c r="M298" s="78"/>
      <c r="N298" s="78"/>
      <c r="O298" s="78"/>
      <c r="P298" s="78"/>
      <c r="Q298" s="78"/>
      <c r="R298" s="78"/>
      <c r="S298" s="78"/>
      <c r="T298" s="78"/>
    </row>
    <row r="299" spans="1:20" x14ac:dyDescent="0.2">
      <c r="A299" s="79"/>
      <c r="B299" s="192"/>
      <c r="C299" s="215"/>
      <c r="D299" s="80"/>
      <c r="E299" s="80"/>
      <c r="F299" s="80"/>
      <c r="G299" s="80"/>
      <c r="H299" s="80"/>
      <c r="I299" s="80"/>
      <c r="J299" s="80"/>
      <c r="K299" s="78"/>
      <c r="L299" s="78"/>
      <c r="M299" s="78"/>
      <c r="N299" s="78"/>
      <c r="O299" s="78"/>
      <c r="P299" s="78"/>
      <c r="Q299" s="78"/>
      <c r="R299" s="78"/>
      <c r="S299" s="78"/>
      <c r="T299" s="78"/>
    </row>
    <row r="300" spans="1:20" x14ac:dyDescent="0.2">
      <c r="A300" s="79"/>
      <c r="B300" s="192"/>
      <c r="C300" s="215"/>
      <c r="D300" s="80"/>
      <c r="E300" s="80"/>
      <c r="F300" s="80"/>
      <c r="G300" s="80"/>
      <c r="H300" s="80"/>
      <c r="I300" s="80"/>
      <c r="J300" s="80"/>
      <c r="K300" s="78"/>
      <c r="L300" s="78"/>
      <c r="M300" s="78"/>
      <c r="N300" s="78"/>
      <c r="O300" s="78"/>
      <c r="P300" s="78"/>
      <c r="Q300" s="78"/>
      <c r="R300" s="78"/>
      <c r="S300" s="78"/>
      <c r="T300" s="78"/>
    </row>
    <row r="301" spans="1:20" x14ac:dyDescent="0.2">
      <c r="A301" s="81" t="s">
        <v>312</v>
      </c>
      <c r="B301" s="197"/>
      <c r="C301" s="197"/>
      <c r="D301" s="97">
        <f t="shared" ref="D301:J301" si="70">SUM(D294:D300)</f>
        <v>0</v>
      </c>
      <c r="E301" s="97">
        <f t="shared" si="70"/>
        <v>0</v>
      </c>
      <c r="F301" s="97">
        <f t="shared" si="70"/>
        <v>0</v>
      </c>
      <c r="G301" s="97">
        <f t="shared" si="70"/>
        <v>0</v>
      </c>
      <c r="H301" s="97">
        <f t="shared" si="70"/>
        <v>0</v>
      </c>
      <c r="I301" s="97">
        <f t="shared" si="70"/>
        <v>0</v>
      </c>
      <c r="J301" s="97">
        <f t="shared" si="70"/>
        <v>0</v>
      </c>
      <c r="K301" s="78"/>
      <c r="L301" s="78"/>
      <c r="M301" s="78"/>
      <c r="N301" s="166"/>
      <c r="O301" s="78"/>
      <c r="P301" s="78"/>
      <c r="Q301" s="78"/>
      <c r="R301" s="78"/>
      <c r="S301" s="78"/>
      <c r="T301" s="78"/>
    </row>
    <row r="302" spans="1:20" x14ac:dyDescent="0.2">
      <c r="A302" s="81" t="s">
        <v>127</v>
      </c>
      <c r="B302" s="81"/>
      <c r="C302" s="81"/>
      <c r="D302" s="97" t="e">
        <f t="shared" ref="D302:J302" si="71">D292+D301</f>
        <v>#VALUE!</v>
      </c>
      <c r="E302" s="97" t="e">
        <f t="shared" si="71"/>
        <v>#VALUE!</v>
      </c>
      <c r="F302" s="97" t="e">
        <f t="shared" si="71"/>
        <v>#VALUE!</v>
      </c>
      <c r="G302" s="97" t="e">
        <f t="shared" si="71"/>
        <v>#VALUE!</v>
      </c>
      <c r="H302" s="97" t="e">
        <f t="shared" si="71"/>
        <v>#VALUE!</v>
      </c>
      <c r="I302" s="97" t="e">
        <f t="shared" si="71"/>
        <v>#VALUE!</v>
      </c>
      <c r="J302" s="97" t="e">
        <f t="shared" si="71"/>
        <v>#VALUE!</v>
      </c>
      <c r="K302" s="78"/>
      <c r="L302" s="78"/>
      <c r="M302" s="78"/>
      <c r="N302" s="78"/>
      <c r="O302" s="78"/>
      <c r="P302" s="78"/>
      <c r="Q302" s="78"/>
      <c r="R302" s="78"/>
      <c r="S302" s="78"/>
      <c r="T302" s="78"/>
    </row>
    <row r="303" spans="1:20" x14ac:dyDescent="0.2">
      <c r="A303" s="79"/>
      <c r="B303" s="79"/>
      <c r="C303" s="79"/>
      <c r="D303" s="92"/>
      <c r="E303" s="92"/>
      <c r="F303" s="92"/>
      <c r="G303" s="92"/>
      <c r="H303" s="92"/>
      <c r="I303" s="79"/>
      <c r="J303" s="79"/>
      <c r="K303" s="78"/>
      <c r="L303" s="78"/>
      <c r="M303" s="78"/>
      <c r="N303" s="78"/>
      <c r="O303" s="78"/>
      <c r="P303" s="78"/>
      <c r="Q303" s="78"/>
      <c r="R303" s="78"/>
      <c r="S303" s="78"/>
      <c r="T303" s="78"/>
    </row>
    <row r="304" spans="1:20" x14ac:dyDescent="0.2">
      <c r="A304" s="81"/>
      <c r="B304" s="81"/>
      <c r="C304" s="81"/>
      <c r="D304" s="92"/>
      <c r="E304" s="92"/>
      <c r="F304" s="92"/>
      <c r="G304" s="92"/>
      <c r="H304" s="92"/>
      <c r="I304" s="79"/>
      <c r="J304" s="79"/>
      <c r="K304" s="78"/>
      <c r="L304" s="78"/>
      <c r="M304" s="78"/>
      <c r="N304" s="78"/>
      <c r="O304" s="78"/>
      <c r="P304" s="78"/>
      <c r="Q304" s="78"/>
      <c r="R304" s="78"/>
      <c r="S304" s="78"/>
      <c r="T304" s="78"/>
    </row>
    <row r="305" spans="1:20" x14ac:dyDescent="0.2">
      <c r="A305" s="81" t="s">
        <v>304</v>
      </c>
      <c r="B305" s="81"/>
      <c r="C305" s="81"/>
      <c r="D305" s="97" t="e">
        <f t="shared" ref="D305:J305" si="72">D229-D302</f>
        <v>#VALUE!</v>
      </c>
      <c r="E305" s="97" t="e">
        <f t="shared" si="72"/>
        <v>#VALUE!</v>
      </c>
      <c r="F305" s="97" t="e">
        <f t="shared" si="72"/>
        <v>#VALUE!</v>
      </c>
      <c r="G305" s="97" t="e">
        <f t="shared" si="72"/>
        <v>#VALUE!</v>
      </c>
      <c r="H305" s="97" t="e">
        <f t="shared" si="72"/>
        <v>#VALUE!</v>
      </c>
      <c r="I305" s="97" t="e">
        <f t="shared" si="72"/>
        <v>#VALUE!</v>
      </c>
      <c r="J305" s="97" t="e">
        <f t="shared" si="72"/>
        <v>#VALUE!</v>
      </c>
      <c r="K305" s="78"/>
      <c r="L305" s="78"/>
      <c r="M305" s="78"/>
      <c r="N305" s="78"/>
      <c r="O305" s="78"/>
      <c r="P305" s="78"/>
      <c r="Q305" s="78"/>
      <c r="R305" s="78"/>
      <c r="S305" s="78"/>
      <c r="T305" s="78"/>
    </row>
    <row r="306" spans="1:20" x14ac:dyDescent="0.2">
      <c r="A306" s="78"/>
      <c r="B306" s="78"/>
      <c r="C306" s="78"/>
      <c r="D306" s="78"/>
      <c r="E306" s="78"/>
      <c r="F306" s="78"/>
      <c r="G306" s="78"/>
      <c r="H306" s="78"/>
      <c r="I306" s="78"/>
      <c r="J306" s="78"/>
    </row>
    <row r="307" spans="1:20" x14ac:dyDescent="0.2">
      <c r="A307" s="78" t="s">
        <v>48</v>
      </c>
      <c r="B307" s="78"/>
      <c r="C307" s="78"/>
      <c r="D307" s="78"/>
      <c r="E307" s="78"/>
      <c r="F307" s="78"/>
      <c r="G307" s="78"/>
      <c r="H307" s="78"/>
      <c r="I307" s="78"/>
      <c r="J307" s="78"/>
    </row>
    <row r="308" spans="1:20" x14ac:dyDescent="0.2">
      <c r="A308" s="705" t="s">
        <v>405</v>
      </c>
      <c r="B308" s="705"/>
      <c r="C308" s="705"/>
      <c r="D308" s="705"/>
      <c r="E308" s="705"/>
      <c r="F308" s="705"/>
      <c r="G308" s="705"/>
      <c r="H308" s="705"/>
      <c r="I308" s="705"/>
      <c r="J308" s="705"/>
    </row>
    <row r="310" spans="1:20" x14ac:dyDescent="0.2">
      <c r="A310" t="s">
        <v>486</v>
      </c>
    </row>
    <row r="311" spans="1:20" x14ac:dyDescent="0.2">
      <c r="A311">
        <v>1</v>
      </c>
      <c r="B311" t="s">
        <v>496</v>
      </c>
    </row>
    <row r="312" spans="1:20" x14ac:dyDescent="0.2">
      <c r="A312">
        <v>2</v>
      </c>
      <c r="B312" t="s">
        <v>497</v>
      </c>
    </row>
    <row r="313" spans="1:20" x14ac:dyDescent="0.2">
      <c r="A313">
        <v>3</v>
      </c>
      <c r="B313" s="78" t="s">
        <v>542</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J197"/>
  <sheetViews>
    <sheetView view="pageBreakPreview" topLeftCell="A32" zoomScale="70" zoomScaleSheetLayoutView="70" workbookViewId="0" xr3:uid="{274F5AE0-5452-572F-8038-C13FFDA59D49}">
      <selection activeCell="C53" sqref="C53"/>
    </sheetView>
  </sheetViews>
  <sheetFormatPr defaultRowHeight="15" x14ac:dyDescent="0.2"/>
  <cols>
    <col min="1" max="1" width="41.69921875" bestFit="1" customWidth="1"/>
    <col min="2" max="2" width="11.56640625" bestFit="1" customWidth="1"/>
    <col min="3" max="3" width="12.5078125" bestFit="1" customWidth="1"/>
    <col min="4" max="4" width="15.19921875" customWidth="1"/>
    <col min="5" max="8" width="17.21875" customWidth="1"/>
    <col min="9" max="10" width="16.8125" bestFit="1" customWidth="1"/>
  </cols>
  <sheetData>
    <row r="3" spans="1:8" ht="18" x14ac:dyDescent="0.2">
      <c r="A3" s="704" t="s">
        <v>539</v>
      </c>
      <c r="B3" s="704"/>
      <c r="C3" s="704"/>
      <c r="D3" s="704"/>
      <c r="E3" s="704"/>
      <c r="F3" s="704"/>
      <c r="G3" s="704"/>
      <c r="H3" s="704"/>
    </row>
    <row r="4" spans="1:8" ht="18" x14ac:dyDescent="0.2">
      <c r="A4" s="704" t="s">
        <v>540</v>
      </c>
      <c r="B4" s="704"/>
      <c r="C4" s="704"/>
      <c r="D4" s="704"/>
      <c r="E4" s="704"/>
      <c r="F4" s="704"/>
      <c r="G4" s="704"/>
      <c r="H4" s="704"/>
    </row>
    <row r="5" spans="1:8" x14ac:dyDescent="0.2">
      <c r="A5" s="78" t="s">
        <v>156</v>
      </c>
      <c r="B5" s="208">
        <v>1</v>
      </c>
      <c r="C5" s="78" t="s">
        <v>456</v>
      </c>
      <c r="D5" s="78"/>
      <c r="E5" s="78"/>
      <c r="F5" s="78"/>
      <c r="G5" s="78"/>
      <c r="H5" s="78"/>
    </row>
    <row r="6" spans="1:8" x14ac:dyDescent="0.2">
      <c r="A6" s="78" t="s">
        <v>157</v>
      </c>
      <c r="B6" s="239">
        <v>8</v>
      </c>
      <c r="C6" s="78"/>
      <c r="D6" s="78"/>
      <c r="E6" s="78"/>
      <c r="F6" s="78"/>
      <c r="G6" s="78"/>
      <c r="H6" s="78"/>
    </row>
    <row r="7" spans="1:8" x14ac:dyDescent="0.2">
      <c r="A7" s="78"/>
      <c r="B7" s="239"/>
      <c r="C7" s="78"/>
      <c r="D7" s="78"/>
      <c r="E7" s="78"/>
      <c r="F7" s="78"/>
      <c r="G7" s="78"/>
      <c r="H7" s="78"/>
    </row>
    <row r="8" spans="1:8" x14ac:dyDescent="0.2">
      <c r="A8" s="78"/>
      <c r="B8" s="239"/>
      <c r="C8" s="78"/>
      <c r="D8" s="78"/>
      <c r="E8" s="78"/>
      <c r="F8" s="78"/>
      <c r="G8" s="78"/>
      <c r="H8" s="78"/>
    </row>
    <row r="9" spans="1:8" x14ac:dyDescent="0.2">
      <c r="A9" s="78"/>
      <c r="B9" s="78"/>
      <c r="C9" s="78"/>
      <c r="D9" s="78"/>
      <c r="E9" s="78"/>
      <c r="F9" s="78"/>
      <c r="G9" s="78"/>
      <c r="H9" s="78"/>
    </row>
    <row r="10" spans="1:8" x14ac:dyDescent="0.2">
      <c r="A10" s="78"/>
      <c r="B10" s="78"/>
      <c r="C10" s="78"/>
      <c r="D10" s="78"/>
      <c r="E10" s="78"/>
      <c r="F10" s="78"/>
      <c r="G10" s="78"/>
      <c r="H10" s="78"/>
    </row>
    <row r="11" spans="1:8" x14ac:dyDescent="0.2">
      <c r="A11" s="69" t="s">
        <v>0</v>
      </c>
      <c r="B11" s="70" t="s">
        <v>2</v>
      </c>
      <c r="C11" s="70" t="s">
        <v>3</v>
      </c>
      <c r="D11" s="70" t="s">
        <v>4</v>
      </c>
      <c r="E11" s="70" t="s">
        <v>5</v>
      </c>
      <c r="F11" s="70" t="s">
        <v>6</v>
      </c>
      <c r="G11" s="70" t="s">
        <v>163</v>
      </c>
      <c r="H11" s="70" t="s">
        <v>162</v>
      </c>
    </row>
    <row r="12" spans="1:8" x14ac:dyDescent="0.2">
      <c r="A12" s="79" t="s">
        <v>164</v>
      </c>
      <c r="B12" s="271">
        <f t="shared" ref="B12:H12" si="0">B39/($B$5*$B$6)</f>
        <v>0</v>
      </c>
      <c r="C12" s="271">
        <f t="shared" si="0"/>
        <v>0</v>
      </c>
      <c r="D12" s="271">
        <f t="shared" si="0"/>
        <v>0</v>
      </c>
      <c r="E12" s="271">
        <f t="shared" si="0"/>
        <v>0</v>
      </c>
      <c r="F12" s="271">
        <f t="shared" si="0"/>
        <v>0</v>
      </c>
      <c r="G12" s="271">
        <f t="shared" si="0"/>
        <v>0</v>
      </c>
      <c r="H12" s="271">
        <f t="shared" si="0"/>
        <v>0</v>
      </c>
    </row>
    <row r="13" spans="1:8" x14ac:dyDescent="0.2">
      <c r="A13" s="79" t="str">
        <f>'[4]11.F&amp;V Crop Production details'!A74</f>
        <v>Onion</v>
      </c>
      <c r="B13" s="79">
        <f>'[4]11.F&amp;V Crop Production details'!B74</f>
        <v>0</v>
      </c>
      <c r="C13" s="79">
        <f>'[4]11.F&amp;V Crop Production details'!C74</f>
        <v>0</v>
      </c>
      <c r="D13" s="79">
        <f>'[4]11.F&amp;V Crop Production details'!D74</f>
        <v>0</v>
      </c>
      <c r="E13" s="79">
        <f>'[4]11.F&amp;V Crop Production details'!E74</f>
        <v>0</v>
      </c>
      <c r="F13" s="79">
        <f>'[4]11.F&amp;V Crop Production details'!F74</f>
        <v>0</v>
      </c>
      <c r="G13" s="79">
        <f>'[4]11.F&amp;V Crop Production details'!G74</f>
        <v>0</v>
      </c>
      <c r="H13" s="79">
        <f>'[4]11.F&amp;V Crop Production details'!H74</f>
        <v>0</v>
      </c>
    </row>
    <row r="14" spans="1:8" x14ac:dyDescent="0.2">
      <c r="A14" s="79" t="str">
        <f>'[4]11.F&amp;V Crop Production details'!A75</f>
        <v>Tomato</v>
      </c>
      <c r="B14" s="79">
        <f>'[4]11.F&amp;V Crop Production details'!B75</f>
        <v>0</v>
      </c>
      <c r="C14" s="79">
        <f>'[4]11.F&amp;V Crop Production details'!C75</f>
        <v>0</v>
      </c>
      <c r="D14" s="79">
        <f>'[4]11.F&amp;V Crop Production details'!D75</f>
        <v>0</v>
      </c>
      <c r="E14" s="79">
        <f>'[4]11.F&amp;V Crop Production details'!E75</f>
        <v>0</v>
      </c>
      <c r="F14" s="79">
        <f>'[4]11.F&amp;V Crop Production details'!F75</f>
        <v>0</v>
      </c>
      <c r="G14" s="79">
        <f>'[4]11.F&amp;V Crop Production details'!G75</f>
        <v>0</v>
      </c>
      <c r="H14" s="79">
        <f>'[4]11.F&amp;V Crop Production details'!H75</f>
        <v>0</v>
      </c>
    </row>
    <row r="15" spans="1:8" x14ac:dyDescent="0.2">
      <c r="A15" s="79" t="str">
        <f>'[4]11.F&amp;V Crop Production details'!A76</f>
        <v>Okra</v>
      </c>
      <c r="B15" s="79">
        <f>'[4]11.F&amp;V Crop Production details'!B76</f>
        <v>0</v>
      </c>
      <c r="C15" s="79">
        <f>'[4]11.F&amp;V Crop Production details'!C76</f>
        <v>0</v>
      </c>
      <c r="D15" s="79">
        <f>'[4]11.F&amp;V Crop Production details'!D76</f>
        <v>0</v>
      </c>
      <c r="E15" s="79">
        <f>'[4]11.F&amp;V Crop Production details'!E76</f>
        <v>0</v>
      </c>
      <c r="F15" s="79">
        <f>'[4]11.F&amp;V Crop Production details'!F76</f>
        <v>0</v>
      </c>
      <c r="G15" s="79">
        <f>'[4]11.F&amp;V Crop Production details'!G76</f>
        <v>0</v>
      </c>
      <c r="H15" s="79">
        <f>'[4]11.F&amp;V Crop Production details'!H76</f>
        <v>0</v>
      </c>
    </row>
    <row r="16" spans="1:8" x14ac:dyDescent="0.2">
      <c r="A16" s="79" t="str">
        <f>'[4]11.F&amp;V Crop Production details'!A77</f>
        <v>Chilli</v>
      </c>
      <c r="B16" s="79">
        <f>'[4]11.F&amp;V Crop Production details'!B77</f>
        <v>0</v>
      </c>
      <c r="C16" s="79">
        <f>'[4]11.F&amp;V Crop Production details'!C77</f>
        <v>0</v>
      </c>
      <c r="D16" s="79">
        <f>'[4]11.F&amp;V Crop Production details'!D77</f>
        <v>0</v>
      </c>
      <c r="E16" s="79">
        <f>'[4]11.F&amp;V Crop Production details'!E77</f>
        <v>0</v>
      </c>
      <c r="F16" s="79">
        <f>'[4]11.F&amp;V Crop Production details'!F77</f>
        <v>0</v>
      </c>
      <c r="G16" s="79">
        <f>'[4]11.F&amp;V Crop Production details'!G77</f>
        <v>0</v>
      </c>
      <c r="H16" s="79">
        <f>'[4]11.F&amp;V Crop Production details'!H77</f>
        <v>0</v>
      </c>
    </row>
    <row r="17" spans="1:8" x14ac:dyDescent="0.2">
      <c r="A17" s="79" t="str">
        <f>'[4]11.F&amp;V Crop Production details'!A78</f>
        <v>Potato</v>
      </c>
      <c r="B17" s="79">
        <f>'[4]11.F&amp;V Crop Production details'!B78</f>
        <v>0</v>
      </c>
      <c r="C17" s="79">
        <f>'[4]11.F&amp;V Crop Production details'!C78</f>
        <v>0</v>
      </c>
      <c r="D17" s="79">
        <f>'[4]11.F&amp;V Crop Production details'!D78</f>
        <v>0</v>
      </c>
      <c r="E17" s="79">
        <f>'[4]11.F&amp;V Crop Production details'!E78</f>
        <v>0</v>
      </c>
      <c r="F17" s="79">
        <f>'[4]11.F&amp;V Crop Production details'!F78</f>
        <v>0</v>
      </c>
      <c r="G17" s="79">
        <f>'[4]11.F&amp;V Crop Production details'!G78</f>
        <v>0</v>
      </c>
      <c r="H17" s="79">
        <f>'[4]11.F&amp;V Crop Production details'!H78</f>
        <v>0</v>
      </c>
    </row>
    <row r="18" spans="1:8" x14ac:dyDescent="0.2">
      <c r="A18" s="79">
        <f>'[4]11.F&amp;V Crop Production details'!A79</f>
        <v>0</v>
      </c>
      <c r="B18" s="79">
        <f>'[4]11.F&amp;V Crop Production details'!B79</f>
        <v>0</v>
      </c>
      <c r="C18" s="79">
        <f>'[4]11.F&amp;V Crop Production details'!C79</f>
        <v>0</v>
      </c>
      <c r="D18" s="79">
        <f>'[4]11.F&amp;V Crop Production details'!D79</f>
        <v>0</v>
      </c>
      <c r="E18" s="79">
        <f>'[4]11.F&amp;V Crop Production details'!E79</f>
        <v>0</v>
      </c>
      <c r="F18" s="79">
        <f>'[4]11.F&amp;V Crop Production details'!F79</f>
        <v>0</v>
      </c>
      <c r="G18" s="79">
        <f>'[4]11.F&amp;V Crop Production details'!G79</f>
        <v>0</v>
      </c>
      <c r="H18" s="79">
        <f>'[4]11.F&amp;V Crop Production details'!H79</f>
        <v>0</v>
      </c>
    </row>
    <row r="19" spans="1:8" x14ac:dyDescent="0.2">
      <c r="A19" s="79">
        <f>'[4]11.F&amp;V Crop Production details'!A80</f>
        <v>0</v>
      </c>
      <c r="B19" s="79">
        <f>'[4]11.F&amp;V Crop Production details'!B80</f>
        <v>0</v>
      </c>
      <c r="C19" s="79">
        <f>'[4]11.F&amp;V Crop Production details'!C80</f>
        <v>0</v>
      </c>
      <c r="D19" s="79">
        <f>'[4]11.F&amp;V Crop Production details'!D80</f>
        <v>0</v>
      </c>
      <c r="E19" s="79">
        <f>'[4]11.F&amp;V Crop Production details'!E80</f>
        <v>0</v>
      </c>
      <c r="F19" s="79">
        <f>'[4]11.F&amp;V Crop Production details'!F80</f>
        <v>0</v>
      </c>
      <c r="G19" s="79">
        <f>'[4]11.F&amp;V Crop Production details'!G80</f>
        <v>0</v>
      </c>
      <c r="H19" s="79">
        <f>'[4]11.F&amp;V Crop Production details'!H80</f>
        <v>0</v>
      </c>
    </row>
    <row r="20" spans="1:8" x14ac:dyDescent="0.2">
      <c r="A20" s="79">
        <f>'[4]11.F&amp;V Crop Production details'!A81</f>
        <v>0</v>
      </c>
      <c r="B20" s="79">
        <f>'[4]11.F&amp;V Crop Production details'!B81</f>
        <v>0</v>
      </c>
      <c r="C20" s="79">
        <f>'[4]11.F&amp;V Crop Production details'!C81</f>
        <v>0</v>
      </c>
      <c r="D20" s="79">
        <f>'[4]11.F&amp;V Crop Production details'!D81</f>
        <v>0</v>
      </c>
      <c r="E20" s="79">
        <f>'[4]11.F&amp;V Crop Production details'!E81</f>
        <v>0</v>
      </c>
      <c r="F20" s="79">
        <f>'[4]11.F&amp;V Crop Production details'!F81</f>
        <v>0</v>
      </c>
      <c r="G20" s="79">
        <f>'[4]11.F&amp;V Crop Production details'!G81</f>
        <v>0</v>
      </c>
      <c r="H20" s="79">
        <f>'[4]11.F&amp;V Crop Production details'!H81</f>
        <v>0</v>
      </c>
    </row>
    <row r="21" spans="1:8" x14ac:dyDescent="0.2">
      <c r="A21" s="79">
        <f>'[4]11.F&amp;V Crop Production details'!A82</f>
        <v>0</v>
      </c>
      <c r="B21" s="79">
        <f>'[4]11.F&amp;V Crop Production details'!B82</f>
        <v>0</v>
      </c>
      <c r="C21" s="79">
        <f>'[4]11.F&amp;V Crop Production details'!C82</f>
        <v>0</v>
      </c>
      <c r="D21" s="79">
        <f>'[4]11.F&amp;V Crop Production details'!D82</f>
        <v>0</v>
      </c>
      <c r="E21" s="79">
        <f>'[4]11.F&amp;V Crop Production details'!E82</f>
        <v>0</v>
      </c>
      <c r="F21" s="79">
        <f>'[4]11.F&amp;V Crop Production details'!F82</f>
        <v>0</v>
      </c>
      <c r="G21" s="79">
        <f>'[4]11.F&amp;V Crop Production details'!G82</f>
        <v>0</v>
      </c>
      <c r="H21" s="79">
        <f>'[4]11.F&amp;V Crop Production details'!H82</f>
        <v>0</v>
      </c>
    </row>
    <row r="22" spans="1:8" x14ac:dyDescent="0.2">
      <c r="A22" s="79" t="str">
        <f>'[4]11.F&amp;V Crop Production details'!A83</f>
        <v>Onion</v>
      </c>
      <c r="B22" s="79">
        <f>'[4]11.F&amp;V Crop Production details'!B83</f>
        <v>0</v>
      </c>
      <c r="C22" s="79">
        <f>'[4]11.F&amp;V Crop Production details'!C83</f>
        <v>0</v>
      </c>
      <c r="D22" s="79">
        <f>'[4]11.F&amp;V Crop Production details'!D83</f>
        <v>0</v>
      </c>
      <c r="E22" s="79">
        <f>'[4]11.F&amp;V Crop Production details'!E83</f>
        <v>0</v>
      </c>
      <c r="F22" s="79">
        <f>'[4]11.F&amp;V Crop Production details'!F83</f>
        <v>0</v>
      </c>
      <c r="G22" s="79">
        <f>'[4]11.F&amp;V Crop Production details'!G83</f>
        <v>0</v>
      </c>
      <c r="H22" s="79">
        <f>'[4]11.F&amp;V Crop Production details'!H83</f>
        <v>0</v>
      </c>
    </row>
    <row r="23" spans="1:8" x14ac:dyDescent="0.2">
      <c r="A23" s="79" t="str">
        <f>'[4]11.F&amp;V Crop Production details'!A84</f>
        <v>Tomato</v>
      </c>
      <c r="B23" s="79">
        <f>'[4]11.F&amp;V Crop Production details'!B84</f>
        <v>0</v>
      </c>
      <c r="C23" s="79">
        <f>'[4]11.F&amp;V Crop Production details'!C84</f>
        <v>0</v>
      </c>
      <c r="D23" s="79">
        <f>'[4]11.F&amp;V Crop Production details'!D84</f>
        <v>0</v>
      </c>
      <c r="E23" s="79">
        <f>'[4]11.F&amp;V Crop Production details'!E84</f>
        <v>0</v>
      </c>
      <c r="F23" s="79">
        <f>'[4]11.F&amp;V Crop Production details'!F84</f>
        <v>0</v>
      </c>
      <c r="G23" s="79">
        <f>'[4]11.F&amp;V Crop Production details'!G84</f>
        <v>0</v>
      </c>
      <c r="H23" s="79">
        <f>'[4]11.F&amp;V Crop Production details'!H84</f>
        <v>0</v>
      </c>
    </row>
    <row r="24" spans="1:8" x14ac:dyDescent="0.2">
      <c r="A24" s="79" t="str">
        <f>'[4]11.F&amp;V Crop Production details'!A85</f>
        <v>Okra</v>
      </c>
      <c r="B24" s="79">
        <f>'[4]11.F&amp;V Crop Production details'!B85</f>
        <v>0</v>
      </c>
      <c r="C24" s="79">
        <f>'[4]11.F&amp;V Crop Production details'!C85</f>
        <v>0</v>
      </c>
      <c r="D24" s="79">
        <f>'[4]11.F&amp;V Crop Production details'!D85</f>
        <v>0</v>
      </c>
      <c r="E24" s="79">
        <f>'[4]11.F&amp;V Crop Production details'!E85</f>
        <v>0</v>
      </c>
      <c r="F24" s="79">
        <f>'[4]11.F&amp;V Crop Production details'!F85</f>
        <v>0</v>
      </c>
      <c r="G24" s="79">
        <f>'[4]11.F&amp;V Crop Production details'!G85</f>
        <v>0</v>
      </c>
      <c r="H24" s="79">
        <f>'[4]11.F&amp;V Crop Production details'!H85</f>
        <v>0</v>
      </c>
    </row>
    <row r="25" spans="1:8" x14ac:dyDescent="0.2">
      <c r="A25" s="79" t="str">
        <f>'[4]11.F&amp;V Crop Production details'!A86</f>
        <v>Chilli</v>
      </c>
      <c r="B25" s="79">
        <f>'[4]11.F&amp;V Crop Production details'!B86</f>
        <v>0</v>
      </c>
      <c r="C25" s="79">
        <f>'[4]11.F&amp;V Crop Production details'!C86</f>
        <v>0</v>
      </c>
      <c r="D25" s="79">
        <f>'[4]11.F&amp;V Crop Production details'!D86</f>
        <v>0</v>
      </c>
      <c r="E25" s="79">
        <f>'[4]11.F&amp;V Crop Production details'!E86</f>
        <v>0</v>
      </c>
      <c r="F25" s="79">
        <f>'[4]11.F&amp;V Crop Production details'!F86</f>
        <v>0</v>
      </c>
      <c r="G25" s="79">
        <f>'[4]11.F&amp;V Crop Production details'!G86</f>
        <v>0</v>
      </c>
      <c r="H25" s="79">
        <f>'[4]11.F&amp;V Crop Production details'!H86</f>
        <v>0</v>
      </c>
    </row>
    <row r="26" spans="1:8" x14ac:dyDescent="0.2">
      <c r="A26" s="79" t="str">
        <f>'[4]11.F&amp;V Crop Production details'!A87</f>
        <v>Brinjal</v>
      </c>
      <c r="B26" s="79">
        <f>'[4]11.F&amp;V Crop Production details'!B87</f>
        <v>0</v>
      </c>
      <c r="C26" s="79">
        <f>'[4]11.F&amp;V Crop Production details'!C87</f>
        <v>0</v>
      </c>
      <c r="D26" s="79">
        <f>'[4]11.F&amp;V Crop Production details'!D87</f>
        <v>0</v>
      </c>
      <c r="E26" s="79">
        <f>'[4]11.F&amp;V Crop Production details'!E87</f>
        <v>0</v>
      </c>
      <c r="F26" s="79">
        <f>'[4]11.F&amp;V Crop Production details'!F87</f>
        <v>0</v>
      </c>
      <c r="G26" s="79">
        <f>'[4]11.F&amp;V Crop Production details'!G87</f>
        <v>0</v>
      </c>
      <c r="H26" s="79">
        <f>'[4]11.F&amp;V Crop Production details'!H87</f>
        <v>0</v>
      </c>
    </row>
    <row r="27" spans="1:8" x14ac:dyDescent="0.2">
      <c r="A27" s="79">
        <f>'[4]11.F&amp;V Crop Production details'!A88</f>
        <v>0</v>
      </c>
      <c r="B27" s="79">
        <f>'[4]11.F&amp;V Crop Production details'!B88</f>
        <v>0</v>
      </c>
      <c r="C27" s="79">
        <f>'[4]11.F&amp;V Crop Production details'!C88</f>
        <v>0</v>
      </c>
      <c r="D27" s="79">
        <f>'[4]11.F&amp;V Crop Production details'!D88</f>
        <v>0</v>
      </c>
      <c r="E27" s="79">
        <f>'[4]11.F&amp;V Crop Production details'!E88</f>
        <v>0</v>
      </c>
      <c r="F27" s="79">
        <f>'[4]11.F&amp;V Crop Production details'!F88</f>
        <v>0</v>
      </c>
      <c r="G27" s="79">
        <f>'[4]11.F&amp;V Crop Production details'!G88</f>
        <v>0</v>
      </c>
      <c r="H27" s="79">
        <f>'[4]11.F&amp;V Crop Production details'!H88</f>
        <v>0</v>
      </c>
    </row>
    <row r="28" spans="1:8" x14ac:dyDescent="0.2">
      <c r="A28" s="79">
        <f>'[4]11.F&amp;V Crop Production details'!A89</f>
        <v>0</v>
      </c>
      <c r="B28" s="79">
        <f>'[4]11.F&amp;V Crop Production details'!B89</f>
        <v>0</v>
      </c>
      <c r="C28" s="79">
        <f>'[4]11.F&amp;V Crop Production details'!C89</f>
        <v>0</v>
      </c>
      <c r="D28" s="79">
        <f>'[4]11.F&amp;V Crop Production details'!D89</f>
        <v>0</v>
      </c>
      <c r="E28" s="79">
        <f>'[4]11.F&amp;V Crop Production details'!E89</f>
        <v>0</v>
      </c>
      <c r="F28" s="79">
        <f>'[4]11.F&amp;V Crop Production details'!F89</f>
        <v>0</v>
      </c>
      <c r="G28" s="79">
        <f>'[4]11.F&amp;V Crop Production details'!G89</f>
        <v>0</v>
      </c>
      <c r="H28" s="79">
        <f>'[4]11.F&amp;V Crop Production details'!H89</f>
        <v>0</v>
      </c>
    </row>
    <row r="29" spans="1:8" x14ac:dyDescent="0.2">
      <c r="A29" s="79">
        <f>'[4]11.F&amp;V Crop Production details'!A90</f>
        <v>0</v>
      </c>
      <c r="B29" s="79">
        <f>'[4]11.F&amp;V Crop Production details'!B90</f>
        <v>0</v>
      </c>
      <c r="C29" s="79">
        <f>'[4]11.F&amp;V Crop Production details'!C90</f>
        <v>0</v>
      </c>
      <c r="D29" s="79">
        <f>'[4]11.F&amp;V Crop Production details'!D90</f>
        <v>0</v>
      </c>
      <c r="E29" s="79">
        <f>'[4]11.F&amp;V Crop Production details'!E90</f>
        <v>0</v>
      </c>
      <c r="F29" s="79">
        <f>'[4]11.F&amp;V Crop Production details'!F90</f>
        <v>0</v>
      </c>
      <c r="G29" s="79">
        <f>'[4]11.F&amp;V Crop Production details'!G90</f>
        <v>0</v>
      </c>
      <c r="H29" s="79">
        <f>'[4]11.F&amp;V Crop Production details'!H90</f>
        <v>0</v>
      </c>
    </row>
    <row r="30" spans="1:8" x14ac:dyDescent="0.2">
      <c r="A30" s="79">
        <f>'[4]11.F&amp;V Crop Production details'!A91</f>
        <v>0</v>
      </c>
      <c r="B30" s="79">
        <f>'[4]11.F&amp;V Crop Production details'!B91</f>
        <v>0</v>
      </c>
      <c r="C30" s="79">
        <f>'[4]11.F&amp;V Crop Production details'!C91</f>
        <v>0</v>
      </c>
      <c r="D30" s="79">
        <f>'[4]11.F&amp;V Crop Production details'!D91</f>
        <v>0</v>
      </c>
      <c r="E30" s="79">
        <f>'[4]11.F&amp;V Crop Production details'!E91</f>
        <v>0</v>
      </c>
      <c r="F30" s="79">
        <f>'[4]11.F&amp;V Crop Production details'!F91</f>
        <v>0</v>
      </c>
      <c r="G30" s="79">
        <f>'[4]11.F&amp;V Crop Production details'!G91</f>
        <v>0</v>
      </c>
      <c r="H30" s="79">
        <f>'[4]11.F&amp;V Crop Production details'!H91</f>
        <v>0</v>
      </c>
    </row>
    <row r="31" spans="1:8" x14ac:dyDescent="0.2">
      <c r="A31" s="79">
        <f>'[4]11.F&amp;V Crop Production details'!A92</f>
        <v>0</v>
      </c>
      <c r="B31" s="79">
        <f>'[4]11.F&amp;V Crop Production details'!B92</f>
        <v>0</v>
      </c>
      <c r="C31" s="79">
        <f>'[4]11.F&amp;V Crop Production details'!C92</f>
        <v>0</v>
      </c>
      <c r="D31" s="79">
        <f>'[4]11.F&amp;V Crop Production details'!D92</f>
        <v>0</v>
      </c>
      <c r="E31" s="79">
        <f>'[4]11.F&amp;V Crop Production details'!E92</f>
        <v>0</v>
      </c>
      <c r="F31" s="79">
        <f>'[4]11.F&amp;V Crop Production details'!F92</f>
        <v>0</v>
      </c>
      <c r="G31" s="79">
        <f>'[4]11.F&amp;V Crop Production details'!G92</f>
        <v>0</v>
      </c>
      <c r="H31" s="79">
        <f>'[4]11.F&amp;V Crop Production details'!H92</f>
        <v>0</v>
      </c>
    </row>
    <row r="32" spans="1:8" x14ac:dyDescent="0.2">
      <c r="A32" s="79">
        <f>'[4]11.F&amp;V Crop Production details'!A93</f>
        <v>0</v>
      </c>
      <c r="B32" s="79">
        <f>'[4]11.F&amp;V Crop Production details'!B93</f>
        <v>0</v>
      </c>
      <c r="C32" s="79">
        <f>'[4]11.F&amp;V Crop Production details'!C93</f>
        <v>0</v>
      </c>
      <c r="D32" s="79">
        <f>'[4]11.F&amp;V Crop Production details'!D93</f>
        <v>0</v>
      </c>
      <c r="E32" s="79">
        <f>'[4]11.F&amp;V Crop Production details'!E93</f>
        <v>0</v>
      </c>
      <c r="F32" s="79">
        <f>'[4]11.F&amp;V Crop Production details'!F93</f>
        <v>0</v>
      </c>
      <c r="G32" s="79">
        <f>'[4]11.F&amp;V Crop Production details'!G93</f>
        <v>0</v>
      </c>
      <c r="H32" s="79">
        <f>'[4]11.F&amp;V Crop Production details'!H93</f>
        <v>0</v>
      </c>
    </row>
    <row r="33" spans="1:8" x14ac:dyDescent="0.2">
      <c r="A33" s="79">
        <f>'[4]11.F&amp;V Crop Production details'!A94</f>
        <v>0</v>
      </c>
      <c r="B33" s="79">
        <f>'[4]11.F&amp;V Crop Production details'!B94</f>
        <v>0</v>
      </c>
      <c r="C33" s="79">
        <f>'[4]11.F&amp;V Crop Production details'!C94</f>
        <v>0</v>
      </c>
      <c r="D33" s="79">
        <f>'[4]11.F&amp;V Crop Production details'!D94</f>
        <v>0</v>
      </c>
      <c r="E33" s="79">
        <f>'[4]11.F&amp;V Crop Production details'!E94</f>
        <v>0</v>
      </c>
      <c r="F33" s="79">
        <f>'[4]11.F&amp;V Crop Production details'!F94</f>
        <v>0</v>
      </c>
      <c r="G33" s="79">
        <f>'[4]11.F&amp;V Crop Production details'!G94</f>
        <v>0</v>
      </c>
      <c r="H33" s="79">
        <f>'[4]11.F&amp;V Crop Production details'!H94</f>
        <v>0</v>
      </c>
    </row>
    <row r="34" spans="1:8" x14ac:dyDescent="0.2">
      <c r="A34" s="79" t="str">
        <f>'[4]11.F&amp;V Crop Production details'!A95</f>
        <v>Pomegranate</v>
      </c>
      <c r="B34" s="79">
        <f>'[4]11.F&amp;V Crop Production details'!B95</f>
        <v>0</v>
      </c>
      <c r="C34" s="79">
        <f>'[4]11.F&amp;V Crop Production details'!C95</f>
        <v>0</v>
      </c>
      <c r="D34" s="79">
        <f>'[4]11.F&amp;V Crop Production details'!D95</f>
        <v>0</v>
      </c>
      <c r="E34" s="79">
        <f>'[4]11.F&amp;V Crop Production details'!E95</f>
        <v>0</v>
      </c>
      <c r="F34" s="79">
        <f>'[4]11.F&amp;V Crop Production details'!F95</f>
        <v>0</v>
      </c>
      <c r="G34" s="79">
        <f>'[4]11.F&amp;V Crop Production details'!G95</f>
        <v>0</v>
      </c>
      <c r="H34" s="79">
        <f>'[4]11.F&amp;V Crop Production details'!H95</f>
        <v>0</v>
      </c>
    </row>
    <row r="35" spans="1:8" x14ac:dyDescent="0.2">
      <c r="A35" s="79" t="str">
        <f>'[4]11.F&amp;V Crop Production details'!A96</f>
        <v>Custard Apple</v>
      </c>
      <c r="B35" s="79">
        <f>'[4]11.F&amp;V Crop Production details'!B96</f>
        <v>0</v>
      </c>
      <c r="C35" s="79">
        <f>'[4]11.F&amp;V Crop Production details'!C96</f>
        <v>0</v>
      </c>
      <c r="D35" s="79">
        <f>'[4]11.F&amp;V Crop Production details'!D96</f>
        <v>0</v>
      </c>
      <c r="E35" s="79">
        <f>'[4]11.F&amp;V Crop Production details'!E96</f>
        <v>0</v>
      </c>
      <c r="F35" s="79">
        <f>'[4]11.F&amp;V Crop Production details'!F96</f>
        <v>0</v>
      </c>
      <c r="G35" s="79">
        <f>'[4]11.F&amp;V Crop Production details'!G96</f>
        <v>0</v>
      </c>
      <c r="H35" s="79">
        <f>'[4]11.F&amp;V Crop Production details'!H96</f>
        <v>0</v>
      </c>
    </row>
    <row r="36" spans="1:8" x14ac:dyDescent="0.2">
      <c r="A36" s="79" t="str">
        <f>'[4]11.F&amp;V Crop Production details'!A97</f>
        <v>Guava</v>
      </c>
      <c r="B36" s="79">
        <f>'[4]11.F&amp;V Crop Production details'!B97</f>
        <v>0</v>
      </c>
      <c r="C36" s="79">
        <f>'[4]11.F&amp;V Crop Production details'!C97</f>
        <v>0</v>
      </c>
      <c r="D36" s="79">
        <f>'[4]11.F&amp;V Crop Production details'!D97</f>
        <v>0</v>
      </c>
      <c r="E36" s="79">
        <f>'[4]11.F&amp;V Crop Production details'!E97</f>
        <v>0</v>
      </c>
      <c r="F36" s="79">
        <f>'[4]11.F&amp;V Crop Production details'!F97</f>
        <v>0</v>
      </c>
      <c r="G36" s="79">
        <f>'[4]11.F&amp;V Crop Production details'!G97</f>
        <v>0</v>
      </c>
      <c r="H36" s="79">
        <f>'[4]11.F&amp;V Crop Production details'!H97</f>
        <v>0</v>
      </c>
    </row>
    <row r="37" spans="1:8" x14ac:dyDescent="0.2">
      <c r="A37" s="79" t="str">
        <f>'[4]11.F&amp;V Crop Production details'!A98</f>
        <v>Citrus</v>
      </c>
      <c r="B37" s="79">
        <f>'[4]11.F&amp;V Crop Production details'!B98</f>
        <v>0</v>
      </c>
      <c r="C37" s="79">
        <f>'[4]11.F&amp;V Crop Production details'!C98</f>
        <v>0</v>
      </c>
      <c r="D37" s="79">
        <f>'[4]11.F&amp;V Crop Production details'!D98</f>
        <v>0</v>
      </c>
      <c r="E37" s="79">
        <f>'[4]11.F&amp;V Crop Production details'!E98</f>
        <v>0</v>
      </c>
      <c r="F37" s="79">
        <f>'[4]11.F&amp;V Crop Production details'!F98</f>
        <v>0</v>
      </c>
      <c r="G37" s="79">
        <f>'[4]11.F&amp;V Crop Production details'!G98</f>
        <v>0</v>
      </c>
      <c r="H37" s="79">
        <f>'[4]11.F&amp;V Crop Production details'!H98</f>
        <v>0</v>
      </c>
    </row>
    <row r="38" spans="1:8" x14ac:dyDescent="0.2">
      <c r="A38" s="79"/>
      <c r="B38" s="79"/>
      <c r="C38" s="79"/>
      <c r="D38" s="79"/>
      <c r="E38" s="79"/>
      <c r="F38" s="79"/>
      <c r="G38" s="79"/>
      <c r="H38" s="79"/>
    </row>
    <row r="39" spans="1:8" x14ac:dyDescent="0.2">
      <c r="A39" s="79" t="s">
        <v>448</v>
      </c>
      <c r="B39" s="79">
        <f>SUM(B13:B37)</f>
        <v>0</v>
      </c>
      <c r="C39" s="79">
        <f t="shared" ref="C39:H39" si="1">SUM(C13:C37)</f>
        <v>0</v>
      </c>
      <c r="D39" s="79">
        <f t="shared" si="1"/>
        <v>0</v>
      </c>
      <c r="E39" s="79">
        <f t="shared" si="1"/>
        <v>0</v>
      </c>
      <c r="F39" s="79">
        <f t="shared" si="1"/>
        <v>0</v>
      </c>
      <c r="G39" s="79">
        <f t="shared" si="1"/>
        <v>0</v>
      </c>
      <c r="H39" s="79">
        <f t="shared" si="1"/>
        <v>0</v>
      </c>
    </row>
    <row r="40" spans="1:8" x14ac:dyDescent="0.2">
      <c r="A40" s="278" t="s">
        <v>160</v>
      </c>
      <c r="B40" s="238">
        <v>0</v>
      </c>
      <c r="C40" s="238">
        <f>B40</f>
        <v>0</v>
      </c>
      <c r="D40" s="238">
        <f t="shared" ref="D40:H40" si="2">C40</f>
        <v>0</v>
      </c>
      <c r="E40" s="238">
        <f t="shared" si="2"/>
        <v>0</v>
      </c>
      <c r="F40" s="238">
        <f t="shared" si="2"/>
        <v>0</v>
      </c>
      <c r="G40" s="238">
        <f t="shared" si="2"/>
        <v>0</v>
      </c>
      <c r="H40" s="238">
        <f t="shared" si="2"/>
        <v>0</v>
      </c>
    </row>
    <row r="41" spans="1:8" x14ac:dyDescent="0.2">
      <c r="A41" s="83" t="s">
        <v>457</v>
      </c>
      <c r="B41" s="279">
        <f>1-B40</f>
        <v>1</v>
      </c>
      <c r="C41" s="279">
        <f t="shared" ref="C41:H41" si="3">1-C40</f>
        <v>1</v>
      </c>
      <c r="D41" s="279">
        <f t="shared" si="3"/>
        <v>1</v>
      </c>
      <c r="E41" s="279">
        <f t="shared" si="3"/>
        <v>1</v>
      </c>
      <c r="F41" s="279">
        <f t="shared" si="3"/>
        <v>1</v>
      </c>
      <c r="G41" s="279">
        <f t="shared" si="3"/>
        <v>1</v>
      </c>
      <c r="H41" s="279">
        <f t="shared" si="3"/>
        <v>1</v>
      </c>
    </row>
    <row r="42" spans="1:8" x14ac:dyDescent="0.2">
      <c r="A42" s="81" t="s">
        <v>160</v>
      </c>
      <c r="B42" s="219">
        <f>B39*B40</f>
        <v>0</v>
      </c>
      <c r="C42" s="219">
        <f t="shared" ref="C42:H42" si="4">C39*C40</f>
        <v>0</v>
      </c>
      <c r="D42" s="219">
        <f t="shared" si="4"/>
        <v>0</v>
      </c>
      <c r="E42" s="219">
        <f t="shared" si="4"/>
        <v>0</v>
      </c>
      <c r="F42" s="219">
        <f t="shared" si="4"/>
        <v>0</v>
      </c>
      <c r="G42" s="219">
        <f t="shared" si="4"/>
        <v>0</v>
      </c>
      <c r="H42" s="219">
        <f t="shared" si="4"/>
        <v>0</v>
      </c>
    </row>
    <row r="43" spans="1:8" x14ac:dyDescent="0.2">
      <c r="A43" s="81" t="s">
        <v>161</v>
      </c>
      <c r="B43" s="97"/>
      <c r="C43" s="97"/>
      <c r="D43" s="97"/>
      <c r="E43" s="97"/>
      <c r="F43" s="97"/>
      <c r="G43" s="97"/>
      <c r="H43" s="97"/>
    </row>
    <row r="44" spans="1:8" x14ac:dyDescent="0.2">
      <c r="A44" s="79" t="str">
        <f t="shared" ref="A44:A61" si="5">A13</f>
        <v>Onion</v>
      </c>
      <c r="B44" s="80">
        <f t="shared" ref="B44:B61" si="6">B13*$B$41</f>
        <v>0</v>
      </c>
      <c r="C44" s="80">
        <f t="shared" ref="C44:C61" si="7">C13*$C$41</f>
        <v>0</v>
      </c>
      <c r="D44" s="80">
        <f t="shared" ref="D44:D61" si="8">D13*$D$41</f>
        <v>0</v>
      </c>
      <c r="E44" s="80">
        <f t="shared" ref="E44:E61" si="9">E13*$E$41</f>
        <v>0</v>
      </c>
      <c r="F44" s="80">
        <f t="shared" ref="F44:F61" si="10">F13*$F$41</f>
        <v>0</v>
      </c>
      <c r="G44" s="80">
        <f t="shared" ref="G44:G61" si="11">G13*$G$41</f>
        <v>0</v>
      </c>
      <c r="H44" s="80">
        <f t="shared" ref="H44:H61" si="12">H13*$H$41</f>
        <v>0</v>
      </c>
    </row>
    <row r="45" spans="1:8" x14ac:dyDescent="0.2">
      <c r="A45" s="79" t="str">
        <f t="shared" si="5"/>
        <v>Tomato</v>
      </c>
      <c r="B45" s="80">
        <f t="shared" si="6"/>
        <v>0</v>
      </c>
      <c r="C45" s="80">
        <f t="shared" si="7"/>
        <v>0</v>
      </c>
      <c r="D45" s="80">
        <f t="shared" si="8"/>
        <v>0</v>
      </c>
      <c r="E45" s="80">
        <f t="shared" si="9"/>
        <v>0</v>
      </c>
      <c r="F45" s="80">
        <f t="shared" si="10"/>
        <v>0</v>
      </c>
      <c r="G45" s="80">
        <f t="shared" si="11"/>
        <v>0</v>
      </c>
      <c r="H45" s="80">
        <f t="shared" si="12"/>
        <v>0</v>
      </c>
    </row>
    <row r="46" spans="1:8" x14ac:dyDescent="0.2">
      <c r="A46" s="79" t="str">
        <f t="shared" si="5"/>
        <v>Okra</v>
      </c>
      <c r="B46" s="80">
        <f t="shared" si="6"/>
        <v>0</v>
      </c>
      <c r="C46" s="80">
        <f t="shared" si="7"/>
        <v>0</v>
      </c>
      <c r="D46" s="80">
        <f t="shared" si="8"/>
        <v>0</v>
      </c>
      <c r="E46" s="80">
        <f t="shared" si="9"/>
        <v>0</v>
      </c>
      <c r="F46" s="80">
        <f t="shared" si="10"/>
        <v>0</v>
      </c>
      <c r="G46" s="80">
        <f t="shared" si="11"/>
        <v>0</v>
      </c>
      <c r="H46" s="80">
        <f t="shared" si="12"/>
        <v>0</v>
      </c>
    </row>
    <row r="47" spans="1:8" x14ac:dyDescent="0.2">
      <c r="A47" s="79" t="str">
        <f t="shared" si="5"/>
        <v>Chilli</v>
      </c>
      <c r="B47" s="80">
        <f t="shared" si="6"/>
        <v>0</v>
      </c>
      <c r="C47" s="80">
        <f t="shared" si="7"/>
        <v>0</v>
      </c>
      <c r="D47" s="80">
        <f t="shared" si="8"/>
        <v>0</v>
      </c>
      <c r="E47" s="80">
        <f t="shared" si="9"/>
        <v>0</v>
      </c>
      <c r="F47" s="80">
        <f t="shared" si="10"/>
        <v>0</v>
      </c>
      <c r="G47" s="80">
        <f t="shared" si="11"/>
        <v>0</v>
      </c>
      <c r="H47" s="80">
        <f t="shared" si="12"/>
        <v>0</v>
      </c>
    </row>
    <row r="48" spans="1:8" x14ac:dyDescent="0.2">
      <c r="A48" s="79" t="str">
        <f t="shared" si="5"/>
        <v>Potato</v>
      </c>
      <c r="B48" s="80">
        <f t="shared" si="6"/>
        <v>0</v>
      </c>
      <c r="C48" s="80">
        <f t="shared" si="7"/>
        <v>0</v>
      </c>
      <c r="D48" s="80">
        <f t="shared" si="8"/>
        <v>0</v>
      </c>
      <c r="E48" s="80">
        <f t="shared" si="9"/>
        <v>0</v>
      </c>
      <c r="F48" s="80">
        <f t="shared" si="10"/>
        <v>0</v>
      </c>
      <c r="G48" s="80">
        <f t="shared" si="11"/>
        <v>0</v>
      </c>
      <c r="H48" s="80">
        <f t="shared" si="12"/>
        <v>0</v>
      </c>
    </row>
    <row r="49" spans="1:8" x14ac:dyDescent="0.2">
      <c r="A49" s="79">
        <f t="shared" si="5"/>
        <v>0</v>
      </c>
      <c r="B49" s="80">
        <f t="shared" si="6"/>
        <v>0</v>
      </c>
      <c r="C49" s="80">
        <f t="shared" si="7"/>
        <v>0</v>
      </c>
      <c r="D49" s="80">
        <f t="shared" si="8"/>
        <v>0</v>
      </c>
      <c r="E49" s="80">
        <f t="shared" si="9"/>
        <v>0</v>
      </c>
      <c r="F49" s="80">
        <f t="shared" si="10"/>
        <v>0</v>
      </c>
      <c r="G49" s="80">
        <f t="shared" si="11"/>
        <v>0</v>
      </c>
      <c r="H49" s="80">
        <f t="shared" si="12"/>
        <v>0</v>
      </c>
    </row>
    <row r="50" spans="1:8" x14ac:dyDescent="0.2">
      <c r="A50" s="79">
        <f t="shared" si="5"/>
        <v>0</v>
      </c>
      <c r="B50" s="80">
        <f t="shared" si="6"/>
        <v>0</v>
      </c>
      <c r="C50" s="80">
        <f t="shared" si="7"/>
        <v>0</v>
      </c>
      <c r="D50" s="80">
        <f t="shared" si="8"/>
        <v>0</v>
      </c>
      <c r="E50" s="80">
        <f t="shared" si="9"/>
        <v>0</v>
      </c>
      <c r="F50" s="80">
        <f t="shared" si="10"/>
        <v>0</v>
      </c>
      <c r="G50" s="80">
        <f t="shared" si="11"/>
        <v>0</v>
      </c>
      <c r="H50" s="80">
        <f t="shared" si="12"/>
        <v>0</v>
      </c>
    </row>
    <row r="51" spans="1:8" x14ac:dyDescent="0.2">
      <c r="A51" s="79">
        <f t="shared" si="5"/>
        <v>0</v>
      </c>
      <c r="B51" s="80">
        <f t="shared" si="6"/>
        <v>0</v>
      </c>
      <c r="C51" s="80">
        <f t="shared" si="7"/>
        <v>0</v>
      </c>
      <c r="D51" s="80">
        <f t="shared" si="8"/>
        <v>0</v>
      </c>
      <c r="E51" s="80">
        <f t="shared" si="9"/>
        <v>0</v>
      </c>
      <c r="F51" s="80">
        <f t="shared" si="10"/>
        <v>0</v>
      </c>
      <c r="G51" s="80">
        <f t="shared" si="11"/>
        <v>0</v>
      </c>
      <c r="H51" s="80">
        <f t="shared" si="12"/>
        <v>0</v>
      </c>
    </row>
    <row r="52" spans="1:8" x14ac:dyDescent="0.2">
      <c r="A52" s="79">
        <f t="shared" si="5"/>
        <v>0</v>
      </c>
      <c r="B52" s="80">
        <f t="shared" si="6"/>
        <v>0</v>
      </c>
      <c r="C52" s="80">
        <f t="shared" si="7"/>
        <v>0</v>
      </c>
      <c r="D52" s="80">
        <f t="shared" si="8"/>
        <v>0</v>
      </c>
      <c r="E52" s="80">
        <f t="shared" si="9"/>
        <v>0</v>
      </c>
      <c r="F52" s="80">
        <f t="shared" si="10"/>
        <v>0</v>
      </c>
      <c r="G52" s="80">
        <f t="shared" si="11"/>
        <v>0</v>
      </c>
      <c r="H52" s="80">
        <f t="shared" si="12"/>
        <v>0</v>
      </c>
    </row>
    <row r="53" spans="1:8" x14ac:dyDescent="0.2">
      <c r="A53" s="79" t="str">
        <f t="shared" si="5"/>
        <v>Onion</v>
      </c>
      <c r="B53" s="80">
        <f t="shared" si="6"/>
        <v>0</v>
      </c>
      <c r="C53" s="80">
        <f t="shared" si="7"/>
        <v>0</v>
      </c>
      <c r="D53" s="80">
        <f t="shared" si="8"/>
        <v>0</v>
      </c>
      <c r="E53" s="80">
        <f t="shared" si="9"/>
        <v>0</v>
      </c>
      <c r="F53" s="80">
        <f t="shared" si="10"/>
        <v>0</v>
      </c>
      <c r="G53" s="80">
        <f t="shared" si="11"/>
        <v>0</v>
      </c>
      <c r="H53" s="80">
        <f t="shared" si="12"/>
        <v>0</v>
      </c>
    </row>
    <row r="54" spans="1:8" x14ac:dyDescent="0.2">
      <c r="A54" s="79" t="str">
        <f t="shared" si="5"/>
        <v>Tomato</v>
      </c>
      <c r="B54" s="80">
        <f t="shared" si="6"/>
        <v>0</v>
      </c>
      <c r="C54" s="80">
        <f t="shared" si="7"/>
        <v>0</v>
      </c>
      <c r="D54" s="80">
        <f t="shared" si="8"/>
        <v>0</v>
      </c>
      <c r="E54" s="80">
        <f t="shared" si="9"/>
        <v>0</v>
      </c>
      <c r="F54" s="80">
        <f t="shared" si="10"/>
        <v>0</v>
      </c>
      <c r="G54" s="80">
        <f t="shared" si="11"/>
        <v>0</v>
      </c>
      <c r="H54" s="80">
        <f t="shared" si="12"/>
        <v>0</v>
      </c>
    </row>
    <row r="55" spans="1:8" x14ac:dyDescent="0.2">
      <c r="A55" s="79" t="str">
        <f t="shared" si="5"/>
        <v>Okra</v>
      </c>
      <c r="B55" s="80">
        <f t="shared" si="6"/>
        <v>0</v>
      </c>
      <c r="C55" s="80">
        <f t="shared" si="7"/>
        <v>0</v>
      </c>
      <c r="D55" s="80">
        <f t="shared" si="8"/>
        <v>0</v>
      </c>
      <c r="E55" s="80">
        <f t="shared" si="9"/>
        <v>0</v>
      </c>
      <c r="F55" s="80">
        <f t="shared" si="10"/>
        <v>0</v>
      </c>
      <c r="G55" s="80">
        <f t="shared" si="11"/>
        <v>0</v>
      </c>
      <c r="H55" s="80">
        <f t="shared" si="12"/>
        <v>0</v>
      </c>
    </row>
    <row r="56" spans="1:8" x14ac:dyDescent="0.2">
      <c r="A56" s="79" t="str">
        <f t="shared" si="5"/>
        <v>Chilli</v>
      </c>
      <c r="B56" s="80">
        <f t="shared" si="6"/>
        <v>0</v>
      </c>
      <c r="C56" s="80">
        <f t="shared" si="7"/>
        <v>0</v>
      </c>
      <c r="D56" s="80">
        <f t="shared" si="8"/>
        <v>0</v>
      </c>
      <c r="E56" s="80">
        <f t="shared" si="9"/>
        <v>0</v>
      </c>
      <c r="F56" s="80">
        <f t="shared" si="10"/>
        <v>0</v>
      </c>
      <c r="G56" s="80">
        <f t="shared" si="11"/>
        <v>0</v>
      </c>
      <c r="H56" s="80">
        <f t="shared" si="12"/>
        <v>0</v>
      </c>
    </row>
    <row r="57" spans="1:8" x14ac:dyDescent="0.2">
      <c r="A57" s="79" t="str">
        <f t="shared" si="5"/>
        <v>Brinjal</v>
      </c>
      <c r="B57" s="80">
        <f t="shared" si="6"/>
        <v>0</v>
      </c>
      <c r="C57" s="80">
        <f t="shared" si="7"/>
        <v>0</v>
      </c>
      <c r="D57" s="80">
        <f t="shared" si="8"/>
        <v>0</v>
      </c>
      <c r="E57" s="80">
        <f t="shared" si="9"/>
        <v>0</v>
      </c>
      <c r="F57" s="80">
        <f t="shared" si="10"/>
        <v>0</v>
      </c>
      <c r="G57" s="80">
        <f t="shared" si="11"/>
        <v>0</v>
      </c>
      <c r="H57" s="80">
        <f t="shared" si="12"/>
        <v>0</v>
      </c>
    </row>
    <row r="58" spans="1:8" x14ac:dyDescent="0.2">
      <c r="A58" s="79">
        <f t="shared" si="5"/>
        <v>0</v>
      </c>
      <c r="B58" s="80">
        <f t="shared" si="6"/>
        <v>0</v>
      </c>
      <c r="C58" s="80">
        <f t="shared" si="7"/>
        <v>0</v>
      </c>
      <c r="D58" s="80">
        <f t="shared" si="8"/>
        <v>0</v>
      </c>
      <c r="E58" s="80">
        <f t="shared" si="9"/>
        <v>0</v>
      </c>
      <c r="F58" s="80">
        <f t="shared" si="10"/>
        <v>0</v>
      </c>
      <c r="G58" s="80">
        <f t="shared" si="11"/>
        <v>0</v>
      </c>
      <c r="H58" s="80">
        <f t="shared" si="12"/>
        <v>0</v>
      </c>
    </row>
    <row r="59" spans="1:8" x14ac:dyDescent="0.2">
      <c r="A59" s="79">
        <f t="shared" si="5"/>
        <v>0</v>
      </c>
      <c r="B59" s="80">
        <f t="shared" si="6"/>
        <v>0</v>
      </c>
      <c r="C59" s="80">
        <f t="shared" si="7"/>
        <v>0</v>
      </c>
      <c r="D59" s="80">
        <f t="shared" si="8"/>
        <v>0</v>
      </c>
      <c r="E59" s="80">
        <f t="shared" si="9"/>
        <v>0</v>
      </c>
      <c r="F59" s="80">
        <f t="shared" si="10"/>
        <v>0</v>
      </c>
      <c r="G59" s="80">
        <f t="shared" si="11"/>
        <v>0</v>
      </c>
      <c r="H59" s="80">
        <f t="shared" si="12"/>
        <v>0</v>
      </c>
    </row>
    <row r="60" spans="1:8" x14ac:dyDescent="0.2">
      <c r="A60" s="79">
        <f t="shared" si="5"/>
        <v>0</v>
      </c>
      <c r="B60" s="80">
        <f t="shared" si="6"/>
        <v>0</v>
      </c>
      <c r="C60" s="80">
        <f t="shared" si="7"/>
        <v>0</v>
      </c>
      <c r="D60" s="80">
        <f t="shared" si="8"/>
        <v>0</v>
      </c>
      <c r="E60" s="80">
        <f t="shared" si="9"/>
        <v>0</v>
      </c>
      <c r="F60" s="80">
        <f t="shared" si="10"/>
        <v>0</v>
      </c>
      <c r="G60" s="80">
        <f t="shared" si="11"/>
        <v>0</v>
      </c>
      <c r="H60" s="80">
        <f t="shared" si="12"/>
        <v>0</v>
      </c>
    </row>
    <row r="61" spans="1:8" x14ac:dyDescent="0.2">
      <c r="A61" s="79">
        <f t="shared" si="5"/>
        <v>0</v>
      </c>
      <c r="B61" s="80">
        <f t="shared" si="6"/>
        <v>0</v>
      </c>
      <c r="C61" s="80">
        <f t="shared" si="7"/>
        <v>0</v>
      </c>
      <c r="D61" s="80">
        <f t="shared" si="8"/>
        <v>0</v>
      </c>
      <c r="E61" s="80">
        <f t="shared" si="9"/>
        <v>0</v>
      </c>
      <c r="F61" s="80">
        <f t="shared" si="10"/>
        <v>0</v>
      </c>
      <c r="G61" s="80">
        <f t="shared" si="11"/>
        <v>0</v>
      </c>
      <c r="H61" s="80">
        <f t="shared" si="12"/>
        <v>0</v>
      </c>
    </row>
    <row r="62" spans="1:8" x14ac:dyDescent="0.2">
      <c r="A62" s="79" t="str">
        <f t="shared" ref="A62" si="13">A34</f>
        <v>Pomegranate</v>
      </c>
      <c r="B62" s="80">
        <f>B34*$B$41</f>
        <v>0</v>
      </c>
      <c r="C62" s="80">
        <f t="shared" ref="C62:H62" si="14">C34*$B$41</f>
        <v>0</v>
      </c>
      <c r="D62" s="80">
        <f t="shared" si="14"/>
        <v>0</v>
      </c>
      <c r="E62" s="80">
        <f t="shared" si="14"/>
        <v>0</v>
      </c>
      <c r="F62" s="80">
        <f t="shared" si="14"/>
        <v>0</v>
      </c>
      <c r="G62" s="80">
        <f t="shared" si="14"/>
        <v>0</v>
      </c>
      <c r="H62" s="80">
        <f t="shared" si="14"/>
        <v>0</v>
      </c>
    </row>
    <row r="63" spans="1:8" x14ac:dyDescent="0.2">
      <c r="A63" s="79" t="str">
        <f>A35</f>
        <v>Custard Apple</v>
      </c>
      <c r="B63" s="80">
        <f t="shared" ref="B63:H65" si="15">B35*$B$41</f>
        <v>0</v>
      </c>
      <c r="C63" s="80">
        <f t="shared" si="15"/>
        <v>0</v>
      </c>
      <c r="D63" s="80">
        <f t="shared" si="15"/>
        <v>0</v>
      </c>
      <c r="E63" s="80">
        <f t="shared" si="15"/>
        <v>0</v>
      </c>
      <c r="F63" s="80">
        <f t="shared" si="15"/>
        <v>0</v>
      </c>
      <c r="G63" s="80">
        <f t="shared" si="15"/>
        <v>0</v>
      </c>
      <c r="H63" s="80">
        <f t="shared" si="15"/>
        <v>0</v>
      </c>
    </row>
    <row r="64" spans="1:8" x14ac:dyDescent="0.2">
      <c r="A64" s="79" t="str">
        <f>A36</f>
        <v>Guava</v>
      </c>
      <c r="B64" s="80">
        <f t="shared" si="15"/>
        <v>0</v>
      </c>
      <c r="C64" s="80">
        <f t="shared" si="15"/>
        <v>0</v>
      </c>
      <c r="D64" s="80">
        <f t="shared" si="15"/>
        <v>0</v>
      </c>
      <c r="E64" s="80">
        <f t="shared" si="15"/>
        <v>0</v>
      </c>
      <c r="F64" s="80">
        <f t="shared" si="15"/>
        <v>0</v>
      </c>
      <c r="G64" s="80">
        <f t="shared" si="15"/>
        <v>0</v>
      </c>
      <c r="H64" s="80">
        <f t="shared" si="15"/>
        <v>0</v>
      </c>
    </row>
    <row r="65" spans="1:8" x14ac:dyDescent="0.2">
      <c r="A65" s="79" t="str">
        <f>A37</f>
        <v>Citrus</v>
      </c>
      <c r="B65" s="80">
        <f t="shared" si="15"/>
        <v>0</v>
      </c>
      <c r="C65" s="80">
        <f t="shared" si="15"/>
        <v>0</v>
      </c>
      <c r="D65" s="80">
        <f t="shared" si="15"/>
        <v>0</v>
      </c>
      <c r="E65" s="80">
        <f t="shared" si="15"/>
        <v>0</v>
      </c>
      <c r="F65" s="80">
        <f t="shared" si="15"/>
        <v>0</v>
      </c>
      <c r="G65" s="80">
        <f t="shared" si="15"/>
        <v>0</v>
      </c>
      <c r="H65" s="80">
        <f t="shared" si="15"/>
        <v>0</v>
      </c>
    </row>
    <row r="66" spans="1:8" x14ac:dyDescent="0.2">
      <c r="A66" s="81" t="s">
        <v>276</v>
      </c>
      <c r="B66" s="79"/>
      <c r="C66" s="79"/>
      <c r="D66" s="79"/>
      <c r="E66" s="79"/>
      <c r="F66" s="79"/>
      <c r="G66" s="79"/>
      <c r="H66" s="79"/>
    </row>
    <row r="67" spans="1:8" x14ac:dyDescent="0.2">
      <c r="A67" s="79" t="str">
        <f>A44</f>
        <v>Onion</v>
      </c>
      <c r="B67" s="153"/>
      <c r="C67" s="153"/>
      <c r="D67" s="153"/>
      <c r="E67" s="153"/>
      <c r="F67" s="153"/>
      <c r="G67" s="153"/>
      <c r="H67" s="153"/>
    </row>
    <row r="68" spans="1:8" x14ac:dyDescent="0.2">
      <c r="A68" s="79"/>
      <c r="B68" s="153"/>
      <c r="C68" s="153"/>
      <c r="D68" s="153"/>
      <c r="E68" s="153"/>
      <c r="F68" s="153"/>
      <c r="G68" s="153"/>
      <c r="H68" s="153"/>
    </row>
    <row r="69" spans="1:8" x14ac:dyDescent="0.2">
      <c r="A69" s="79"/>
      <c r="B69" s="153"/>
      <c r="C69" s="153"/>
      <c r="D69" s="153"/>
      <c r="E69" s="153"/>
      <c r="F69" s="153"/>
      <c r="G69" s="153"/>
      <c r="H69" s="153"/>
    </row>
    <row r="70" spans="1:8" x14ac:dyDescent="0.2">
      <c r="A70" s="79"/>
      <c r="B70" s="153"/>
      <c r="C70" s="153"/>
      <c r="D70" s="153"/>
      <c r="E70" s="153"/>
      <c r="F70" s="153"/>
      <c r="G70" s="153"/>
      <c r="H70" s="153"/>
    </row>
    <row r="71" spans="1:8" x14ac:dyDescent="0.2">
      <c r="A71" s="79" t="str">
        <f>A45</f>
        <v>Tomato</v>
      </c>
      <c r="B71" s="80"/>
      <c r="C71" s="80"/>
      <c r="D71" s="80"/>
      <c r="E71" s="80"/>
      <c r="F71" s="80"/>
      <c r="G71" s="80"/>
      <c r="H71" s="80"/>
    </row>
    <row r="72" spans="1:8" x14ac:dyDescent="0.2">
      <c r="A72" s="79"/>
      <c r="B72" s="80"/>
      <c r="C72" s="80"/>
      <c r="D72" s="80"/>
      <c r="E72" s="80"/>
      <c r="F72" s="80"/>
      <c r="G72" s="80"/>
      <c r="H72" s="80"/>
    </row>
    <row r="73" spans="1:8" x14ac:dyDescent="0.2">
      <c r="A73" s="79"/>
      <c r="B73" s="80"/>
      <c r="C73" s="80"/>
      <c r="D73" s="80"/>
      <c r="E73" s="80"/>
      <c r="F73" s="80"/>
      <c r="G73" s="80"/>
      <c r="H73" s="80"/>
    </row>
    <row r="74" spans="1:8" x14ac:dyDescent="0.2">
      <c r="A74" s="79"/>
      <c r="B74" s="80"/>
      <c r="C74" s="80"/>
      <c r="D74" s="80"/>
      <c r="E74" s="80"/>
      <c r="F74" s="80"/>
      <c r="G74" s="80"/>
      <c r="H74" s="80"/>
    </row>
    <row r="75" spans="1:8" x14ac:dyDescent="0.2">
      <c r="A75" s="79" t="str">
        <f>A46</f>
        <v>Okra</v>
      </c>
      <c r="B75" s="80"/>
      <c r="C75" s="80"/>
      <c r="D75" s="80"/>
      <c r="E75" s="80"/>
      <c r="F75" s="80"/>
      <c r="G75" s="80"/>
      <c r="H75" s="80"/>
    </row>
    <row r="76" spans="1:8" x14ac:dyDescent="0.2">
      <c r="A76" s="79"/>
      <c r="B76" s="80"/>
      <c r="C76" s="80"/>
      <c r="D76" s="80"/>
      <c r="E76" s="80"/>
      <c r="F76" s="80"/>
      <c r="G76" s="80"/>
      <c r="H76" s="80"/>
    </row>
    <row r="77" spans="1:8" x14ac:dyDescent="0.2">
      <c r="A77" s="79"/>
      <c r="B77" s="80"/>
      <c r="C77" s="80"/>
      <c r="D77" s="80"/>
      <c r="E77" s="80"/>
      <c r="F77" s="80"/>
      <c r="G77" s="80"/>
      <c r="H77" s="80"/>
    </row>
    <row r="78" spans="1:8" x14ac:dyDescent="0.2">
      <c r="A78" s="79"/>
      <c r="B78" s="80"/>
      <c r="C78" s="80"/>
      <c r="D78" s="80"/>
      <c r="E78" s="80"/>
      <c r="F78" s="80"/>
      <c r="G78" s="80"/>
      <c r="H78" s="80"/>
    </row>
    <row r="79" spans="1:8" x14ac:dyDescent="0.2">
      <c r="A79" s="79" t="str">
        <f>A47</f>
        <v>Chilli</v>
      </c>
      <c r="B79" s="80"/>
      <c r="C79" s="80"/>
      <c r="D79" s="80"/>
      <c r="E79" s="80"/>
      <c r="F79" s="80"/>
      <c r="G79" s="80"/>
      <c r="H79" s="80"/>
    </row>
    <row r="80" spans="1:8" x14ac:dyDescent="0.2">
      <c r="A80" s="79"/>
      <c r="B80" s="80"/>
      <c r="C80" s="80"/>
      <c r="D80" s="80"/>
      <c r="E80" s="80"/>
      <c r="F80" s="80"/>
      <c r="G80" s="80"/>
      <c r="H80" s="80"/>
    </row>
    <row r="81" spans="1:8" x14ac:dyDescent="0.2">
      <c r="A81" s="79"/>
      <c r="B81" s="80"/>
      <c r="C81" s="80"/>
      <c r="D81" s="80"/>
      <c r="E81" s="80"/>
      <c r="F81" s="80"/>
      <c r="G81" s="80"/>
      <c r="H81" s="80"/>
    </row>
    <row r="82" spans="1:8" x14ac:dyDescent="0.2">
      <c r="A82" s="79"/>
      <c r="B82" s="80"/>
      <c r="C82" s="80"/>
      <c r="D82" s="80"/>
      <c r="E82" s="80"/>
      <c r="F82" s="80"/>
      <c r="G82" s="80"/>
      <c r="H82" s="80"/>
    </row>
    <row r="83" spans="1:8" x14ac:dyDescent="0.2">
      <c r="A83" s="79" t="str">
        <f>A48</f>
        <v>Potato</v>
      </c>
      <c r="B83" s="80"/>
      <c r="C83" s="80"/>
      <c r="D83" s="80"/>
      <c r="E83" s="80"/>
      <c r="F83" s="80"/>
      <c r="G83" s="80"/>
      <c r="H83" s="80"/>
    </row>
    <row r="84" spans="1:8" x14ac:dyDescent="0.2">
      <c r="A84" s="79"/>
      <c r="B84" s="80"/>
      <c r="C84" s="80"/>
      <c r="D84" s="80"/>
      <c r="E84" s="80"/>
      <c r="F84" s="80"/>
      <c r="G84" s="80"/>
      <c r="H84" s="80"/>
    </row>
    <row r="85" spans="1:8" x14ac:dyDescent="0.2">
      <c r="A85" s="79"/>
      <c r="B85" s="80"/>
      <c r="C85" s="80"/>
      <c r="D85" s="80"/>
      <c r="E85" s="80"/>
      <c r="F85" s="80"/>
      <c r="G85" s="80"/>
      <c r="H85" s="80"/>
    </row>
    <row r="86" spans="1:8" x14ac:dyDescent="0.2">
      <c r="A86" s="79"/>
      <c r="B86" s="80"/>
      <c r="C86" s="80"/>
      <c r="D86" s="80"/>
      <c r="E86" s="80"/>
      <c r="F86" s="80"/>
      <c r="G86" s="80"/>
      <c r="H86" s="80"/>
    </row>
    <row r="87" spans="1:8" x14ac:dyDescent="0.2">
      <c r="A87" s="79">
        <f>A49</f>
        <v>0</v>
      </c>
      <c r="B87" s="80"/>
      <c r="C87" s="80"/>
      <c r="D87" s="80"/>
      <c r="E87" s="80"/>
      <c r="F87" s="80"/>
      <c r="G87" s="80"/>
      <c r="H87" s="80"/>
    </row>
    <row r="88" spans="1:8" x14ac:dyDescent="0.2">
      <c r="A88" s="79"/>
      <c r="B88" s="80"/>
      <c r="C88" s="80"/>
      <c r="D88" s="80"/>
      <c r="E88" s="80"/>
      <c r="F88" s="80"/>
      <c r="G88" s="80"/>
      <c r="H88" s="80"/>
    </row>
    <row r="89" spans="1:8" x14ac:dyDescent="0.2">
      <c r="A89" s="79"/>
      <c r="B89" s="80"/>
      <c r="C89" s="80"/>
      <c r="D89" s="80"/>
      <c r="E89" s="80"/>
      <c r="F89" s="80"/>
      <c r="G89" s="80"/>
      <c r="H89" s="80"/>
    </row>
    <row r="90" spans="1:8" x14ac:dyDescent="0.2">
      <c r="A90" s="79"/>
      <c r="B90" s="80"/>
      <c r="C90" s="80"/>
      <c r="D90" s="80"/>
      <c r="E90" s="80"/>
      <c r="F90" s="80"/>
      <c r="G90" s="80"/>
      <c r="H90" s="80"/>
    </row>
    <row r="91" spans="1:8" x14ac:dyDescent="0.2">
      <c r="A91" s="79">
        <f>A50</f>
        <v>0</v>
      </c>
      <c r="B91" s="80"/>
      <c r="C91" s="80"/>
      <c r="D91" s="80"/>
      <c r="E91" s="80"/>
      <c r="F91" s="80"/>
      <c r="G91" s="80"/>
      <c r="H91" s="80"/>
    </row>
    <row r="92" spans="1:8" x14ac:dyDescent="0.2">
      <c r="A92" s="79"/>
      <c r="B92" s="80"/>
      <c r="C92" s="80"/>
      <c r="D92" s="80"/>
      <c r="E92" s="80"/>
      <c r="F92" s="80"/>
      <c r="G92" s="80"/>
      <c r="H92" s="80"/>
    </row>
    <row r="93" spans="1:8" x14ac:dyDescent="0.2">
      <c r="A93" s="79"/>
      <c r="B93" s="80"/>
      <c r="C93" s="80"/>
      <c r="D93" s="80"/>
      <c r="E93" s="80"/>
      <c r="F93" s="80"/>
      <c r="G93" s="80"/>
      <c r="H93" s="80"/>
    </row>
    <row r="94" spans="1:8" x14ac:dyDescent="0.2">
      <c r="A94" s="79">
        <f>A51</f>
        <v>0</v>
      </c>
      <c r="B94" s="80"/>
      <c r="C94" s="80"/>
      <c r="D94" s="80"/>
      <c r="E94" s="80"/>
      <c r="F94" s="80"/>
      <c r="G94" s="80"/>
      <c r="H94" s="80"/>
    </row>
    <row r="95" spans="1:8" x14ac:dyDescent="0.2">
      <c r="A95" s="79"/>
      <c r="B95" s="80"/>
      <c r="C95" s="80"/>
      <c r="D95" s="80"/>
      <c r="E95" s="80"/>
      <c r="F95" s="80"/>
      <c r="G95" s="80"/>
      <c r="H95" s="80"/>
    </row>
    <row r="96" spans="1:8" x14ac:dyDescent="0.2">
      <c r="A96" s="79"/>
      <c r="B96" s="80"/>
      <c r="C96" s="80"/>
      <c r="D96" s="80"/>
      <c r="E96" s="80"/>
      <c r="F96" s="80"/>
      <c r="G96" s="80"/>
      <c r="H96" s="80"/>
    </row>
    <row r="97" spans="1:8" x14ac:dyDescent="0.2">
      <c r="A97" s="79"/>
      <c r="B97" s="80"/>
      <c r="C97" s="80"/>
      <c r="D97" s="80"/>
      <c r="E97" s="80"/>
      <c r="F97" s="80"/>
      <c r="G97" s="80"/>
      <c r="H97" s="80"/>
    </row>
    <row r="98" spans="1:8" x14ac:dyDescent="0.2">
      <c r="A98" s="79">
        <f>A52</f>
        <v>0</v>
      </c>
      <c r="B98" s="80"/>
      <c r="C98" s="80"/>
      <c r="D98" s="80"/>
      <c r="E98" s="80"/>
      <c r="F98" s="80"/>
      <c r="G98" s="80"/>
      <c r="H98" s="80"/>
    </row>
    <row r="99" spans="1:8" x14ac:dyDescent="0.2">
      <c r="A99" s="79"/>
      <c r="B99" s="80"/>
      <c r="C99" s="80"/>
      <c r="D99" s="80"/>
      <c r="E99" s="80"/>
      <c r="F99" s="80"/>
      <c r="G99" s="80"/>
      <c r="H99" s="80"/>
    </row>
    <row r="100" spans="1:8" x14ac:dyDescent="0.2">
      <c r="A100" s="79"/>
      <c r="B100" s="80"/>
      <c r="C100" s="80"/>
      <c r="D100" s="80"/>
      <c r="E100" s="80"/>
      <c r="F100" s="80"/>
      <c r="G100" s="80"/>
      <c r="H100" s="80"/>
    </row>
    <row r="101" spans="1:8" x14ac:dyDescent="0.2">
      <c r="A101" s="79"/>
      <c r="B101" s="80"/>
      <c r="C101" s="80"/>
      <c r="D101" s="80"/>
      <c r="E101" s="80"/>
      <c r="F101" s="80"/>
      <c r="G101" s="80"/>
      <c r="H101" s="80"/>
    </row>
    <row r="102" spans="1:8" x14ac:dyDescent="0.2">
      <c r="A102" s="79" t="str">
        <f>A53</f>
        <v>Onion</v>
      </c>
      <c r="B102" s="80"/>
      <c r="C102" s="80"/>
      <c r="D102" s="80"/>
      <c r="E102" s="80"/>
      <c r="F102" s="80"/>
      <c r="G102" s="80"/>
      <c r="H102" s="80"/>
    </row>
    <row r="103" spans="1:8" x14ac:dyDescent="0.2">
      <c r="A103" s="79"/>
      <c r="B103" s="80"/>
      <c r="C103" s="80"/>
      <c r="D103" s="80"/>
      <c r="E103" s="80"/>
      <c r="F103" s="80"/>
      <c r="G103" s="80"/>
      <c r="H103" s="80"/>
    </row>
    <row r="104" spans="1:8" x14ac:dyDescent="0.2">
      <c r="A104" s="79"/>
      <c r="B104" s="80"/>
      <c r="C104" s="80"/>
      <c r="D104" s="80"/>
      <c r="E104" s="80"/>
      <c r="F104" s="80"/>
      <c r="G104" s="80"/>
      <c r="H104" s="80"/>
    </row>
    <row r="105" spans="1:8" x14ac:dyDescent="0.2">
      <c r="A105" s="79"/>
      <c r="B105" s="80"/>
      <c r="C105" s="80"/>
      <c r="D105" s="80"/>
      <c r="E105" s="80"/>
      <c r="F105" s="80"/>
      <c r="G105" s="80"/>
      <c r="H105" s="80"/>
    </row>
    <row r="106" spans="1:8" x14ac:dyDescent="0.2">
      <c r="A106" s="79" t="str">
        <f>A54</f>
        <v>Tomato</v>
      </c>
      <c r="B106" s="80"/>
      <c r="C106" s="80"/>
      <c r="D106" s="80"/>
      <c r="E106" s="80"/>
      <c r="F106" s="80"/>
      <c r="G106" s="80"/>
      <c r="H106" s="80"/>
    </row>
    <row r="107" spans="1:8" x14ac:dyDescent="0.2">
      <c r="A107" s="79"/>
      <c r="B107" s="80"/>
      <c r="C107" s="80"/>
      <c r="D107" s="80"/>
      <c r="E107" s="80"/>
      <c r="F107" s="80"/>
      <c r="G107" s="80"/>
      <c r="H107" s="80"/>
    </row>
    <row r="108" spans="1:8" x14ac:dyDescent="0.2">
      <c r="A108" s="79"/>
      <c r="B108" s="80"/>
      <c r="C108" s="80"/>
      <c r="D108" s="80"/>
      <c r="E108" s="80"/>
      <c r="F108" s="80"/>
      <c r="G108" s="80"/>
      <c r="H108" s="80"/>
    </row>
    <row r="109" spans="1:8" x14ac:dyDescent="0.2">
      <c r="A109" s="79"/>
      <c r="B109" s="80"/>
      <c r="C109" s="80"/>
      <c r="D109" s="80"/>
      <c r="E109" s="80"/>
      <c r="F109" s="80"/>
      <c r="G109" s="80"/>
      <c r="H109" s="80"/>
    </row>
    <row r="110" spans="1:8" x14ac:dyDescent="0.2">
      <c r="A110" s="79" t="str">
        <f>A55</f>
        <v>Okra</v>
      </c>
      <c r="B110" s="80"/>
      <c r="C110" s="80"/>
      <c r="D110" s="80"/>
      <c r="E110" s="80"/>
      <c r="F110" s="80"/>
      <c r="G110" s="80"/>
      <c r="H110" s="80"/>
    </row>
    <row r="111" spans="1:8" x14ac:dyDescent="0.2">
      <c r="A111" s="79"/>
      <c r="B111" s="80"/>
      <c r="C111" s="80"/>
      <c r="D111" s="80"/>
      <c r="E111" s="80"/>
      <c r="F111" s="80"/>
      <c r="G111" s="80"/>
      <c r="H111" s="80"/>
    </row>
    <row r="112" spans="1:8" x14ac:dyDescent="0.2">
      <c r="A112" s="79"/>
      <c r="B112" s="80"/>
      <c r="C112" s="80"/>
      <c r="D112" s="80"/>
      <c r="E112" s="80"/>
      <c r="F112" s="80"/>
      <c r="G112" s="80"/>
      <c r="H112" s="80"/>
    </row>
    <row r="113" spans="1:8" x14ac:dyDescent="0.2">
      <c r="A113" s="79"/>
      <c r="B113" s="80"/>
      <c r="C113" s="80"/>
      <c r="D113" s="80"/>
      <c r="E113" s="80"/>
      <c r="F113" s="80"/>
      <c r="G113" s="80"/>
      <c r="H113" s="80"/>
    </row>
    <row r="114" spans="1:8" x14ac:dyDescent="0.2">
      <c r="A114" s="79" t="str">
        <f>A56</f>
        <v>Chilli</v>
      </c>
      <c r="B114" s="80"/>
      <c r="C114" s="80"/>
      <c r="D114" s="80"/>
      <c r="E114" s="80"/>
      <c r="F114" s="80"/>
      <c r="G114" s="80"/>
      <c r="H114" s="80"/>
    </row>
    <row r="115" spans="1:8" x14ac:dyDescent="0.2">
      <c r="A115" s="79"/>
      <c r="B115" s="80"/>
      <c r="C115" s="80"/>
      <c r="D115" s="80"/>
      <c r="E115" s="80"/>
      <c r="F115" s="80"/>
      <c r="G115" s="80"/>
      <c r="H115" s="80"/>
    </row>
    <row r="116" spans="1:8" x14ac:dyDescent="0.2">
      <c r="A116" s="79"/>
      <c r="B116" s="80"/>
      <c r="C116" s="80"/>
      <c r="D116" s="80"/>
      <c r="E116" s="80"/>
      <c r="F116" s="80"/>
      <c r="G116" s="80"/>
      <c r="H116" s="80"/>
    </row>
    <row r="117" spans="1:8" x14ac:dyDescent="0.2">
      <c r="A117" s="79"/>
      <c r="B117" s="80"/>
      <c r="C117" s="80"/>
      <c r="D117" s="80"/>
      <c r="E117" s="80"/>
      <c r="F117" s="80"/>
      <c r="G117" s="80"/>
      <c r="H117" s="80"/>
    </row>
    <row r="118" spans="1:8" x14ac:dyDescent="0.2">
      <c r="A118" s="81" t="str">
        <f t="shared" ref="A118:A123" si="16">A57</f>
        <v>Brinjal</v>
      </c>
      <c r="B118" s="80"/>
      <c r="C118" s="80"/>
      <c r="D118" s="80"/>
      <c r="E118" s="80"/>
      <c r="F118" s="80"/>
      <c r="G118" s="80"/>
      <c r="H118" s="80"/>
    </row>
    <row r="119" spans="1:8" x14ac:dyDescent="0.2">
      <c r="A119" s="79">
        <f t="shared" si="16"/>
        <v>0</v>
      </c>
      <c r="B119" s="80"/>
      <c r="C119" s="80"/>
      <c r="D119" s="80"/>
      <c r="E119" s="80"/>
      <c r="F119" s="80"/>
      <c r="G119" s="80"/>
      <c r="H119" s="80"/>
    </row>
    <row r="120" spans="1:8" x14ac:dyDescent="0.2">
      <c r="A120" s="79">
        <f t="shared" si="16"/>
        <v>0</v>
      </c>
      <c r="B120" s="80"/>
      <c r="C120" s="80"/>
      <c r="D120" s="80"/>
      <c r="E120" s="80"/>
      <c r="F120" s="80"/>
      <c r="G120" s="80"/>
      <c r="H120" s="80"/>
    </row>
    <row r="121" spans="1:8" x14ac:dyDescent="0.2">
      <c r="A121" s="79">
        <f t="shared" si="16"/>
        <v>0</v>
      </c>
      <c r="B121" s="80"/>
      <c r="C121" s="80"/>
      <c r="D121" s="80"/>
      <c r="E121" s="80"/>
      <c r="F121" s="80"/>
      <c r="G121" s="80"/>
      <c r="H121" s="80"/>
    </row>
    <row r="122" spans="1:8" x14ac:dyDescent="0.2">
      <c r="A122" s="79">
        <f t="shared" si="16"/>
        <v>0</v>
      </c>
      <c r="B122" s="80"/>
      <c r="C122" s="80"/>
      <c r="D122" s="80"/>
      <c r="E122" s="80"/>
      <c r="F122" s="80"/>
      <c r="G122" s="80"/>
      <c r="H122" s="80"/>
    </row>
    <row r="123" spans="1:8" x14ac:dyDescent="0.2">
      <c r="A123" s="81" t="str">
        <f t="shared" si="16"/>
        <v>Pomegranate</v>
      </c>
      <c r="B123" s="80"/>
      <c r="C123" s="80"/>
      <c r="D123" s="80"/>
      <c r="E123" s="80"/>
      <c r="F123" s="80"/>
      <c r="G123" s="80"/>
      <c r="H123" s="80"/>
    </row>
    <row r="124" spans="1:8" x14ac:dyDescent="0.2">
      <c r="A124" s="79" t="s">
        <v>893</v>
      </c>
      <c r="B124" s="80">
        <f>(B$62*50%)*0.7</f>
        <v>0</v>
      </c>
      <c r="C124" s="80">
        <f>(C$62*50%)*0.7</f>
        <v>0</v>
      </c>
      <c r="D124" s="80">
        <f t="shared" ref="D124:H126" si="17">(D$62*50%)*0.7</f>
        <v>0</v>
      </c>
      <c r="E124" s="80">
        <f t="shared" si="17"/>
        <v>0</v>
      </c>
      <c r="F124" s="80">
        <f t="shared" si="17"/>
        <v>0</v>
      </c>
      <c r="G124" s="80">
        <f t="shared" si="17"/>
        <v>0</v>
      </c>
      <c r="H124" s="80">
        <f t="shared" si="17"/>
        <v>0</v>
      </c>
    </row>
    <row r="125" spans="1:8" x14ac:dyDescent="0.2">
      <c r="A125" s="79" t="s">
        <v>894</v>
      </c>
      <c r="B125" s="80">
        <f>(B$62*50%)*0.7*2</f>
        <v>0</v>
      </c>
      <c r="C125" s="80">
        <f>(C$62*50%)*0.7</f>
        <v>0</v>
      </c>
      <c r="D125" s="80">
        <f t="shared" si="17"/>
        <v>0</v>
      </c>
      <c r="E125" s="80">
        <f t="shared" si="17"/>
        <v>0</v>
      </c>
      <c r="F125" s="80">
        <f t="shared" si="17"/>
        <v>0</v>
      </c>
      <c r="G125" s="80">
        <f t="shared" si="17"/>
        <v>0</v>
      </c>
      <c r="H125" s="80">
        <f t="shared" si="17"/>
        <v>0</v>
      </c>
    </row>
    <row r="126" spans="1:8" x14ac:dyDescent="0.2">
      <c r="A126" s="79" t="s">
        <v>895</v>
      </c>
      <c r="B126" s="80">
        <f>(B$62*0.3)*0.2</f>
        <v>0</v>
      </c>
      <c r="C126" s="80">
        <f>(C$62*50%)*0.7</f>
        <v>0</v>
      </c>
      <c r="D126" s="80">
        <f t="shared" si="17"/>
        <v>0</v>
      </c>
      <c r="E126" s="80">
        <f t="shared" si="17"/>
        <v>0</v>
      </c>
      <c r="F126" s="80">
        <f t="shared" si="17"/>
        <v>0</v>
      </c>
      <c r="G126" s="80">
        <f t="shared" si="17"/>
        <v>0</v>
      </c>
      <c r="H126" s="80">
        <f t="shared" si="17"/>
        <v>0</v>
      </c>
    </row>
    <row r="127" spans="1:8" x14ac:dyDescent="0.2">
      <c r="A127" s="79" t="str">
        <f t="shared" ref="A127" si="18">A63</f>
        <v>Custard Apple</v>
      </c>
      <c r="B127" s="80"/>
      <c r="C127" s="80"/>
      <c r="D127" s="80"/>
      <c r="E127" s="80"/>
      <c r="F127" s="80"/>
      <c r="G127" s="80"/>
      <c r="H127" s="80"/>
    </row>
    <row r="128" spans="1:8" x14ac:dyDescent="0.2">
      <c r="A128" s="79"/>
      <c r="B128" s="80"/>
      <c r="C128" s="80"/>
      <c r="D128" s="80"/>
      <c r="E128" s="80"/>
      <c r="F128" s="80"/>
      <c r="G128" s="80"/>
      <c r="H128" s="80"/>
    </row>
    <row r="129" spans="1:8" x14ac:dyDescent="0.2">
      <c r="A129" s="79"/>
      <c r="B129" s="80"/>
      <c r="C129" s="80"/>
      <c r="D129" s="80"/>
      <c r="E129" s="80"/>
      <c r="F129" s="80"/>
      <c r="G129" s="80"/>
      <c r="H129" s="80"/>
    </row>
    <row r="130" spans="1:8" x14ac:dyDescent="0.2">
      <c r="A130" s="79"/>
      <c r="B130" s="80"/>
      <c r="C130" s="80"/>
      <c r="D130" s="80"/>
      <c r="E130" s="80"/>
      <c r="F130" s="80"/>
      <c r="G130" s="80"/>
      <c r="H130" s="80"/>
    </row>
    <row r="131" spans="1:8" x14ac:dyDescent="0.2">
      <c r="A131" s="79" t="str">
        <f>A64</f>
        <v>Guava</v>
      </c>
      <c r="B131" s="80"/>
      <c r="C131" s="80"/>
      <c r="D131" s="80"/>
      <c r="E131" s="80"/>
      <c r="F131" s="80"/>
      <c r="G131" s="80"/>
      <c r="H131" s="80"/>
    </row>
    <row r="132" spans="1:8" x14ac:dyDescent="0.2">
      <c r="A132" s="79"/>
      <c r="B132" s="80"/>
      <c r="C132" s="80"/>
      <c r="D132" s="80"/>
      <c r="E132" s="80"/>
      <c r="F132" s="80"/>
      <c r="G132" s="80"/>
      <c r="H132" s="80"/>
    </row>
    <row r="133" spans="1:8" x14ac:dyDescent="0.2">
      <c r="A133" s="79"/>
      <c r="B133" s="80"/>
      <c r="C133" s="80"/>
      <c r="D133" s="80"/>
      <c r="E133" s="80"/>
      <c r="F133" s="80"/>
      <c r="G133" s="80"/>
      <c r="H133" s="80"/>
    </row>
    <row r="134" spans="1:8" x14ac:dyDescent="0.2">
      <c r="A134" s="79"/>
      <c r="B134" s="80"/>
      <c r="C134" s="80"/>
      <c r="D134" s="80"/>
      <c r="E134" s="80"/>
      <c r="F134" s="80"/>
      <c r="G134" s="80"/>
      <c r="H134" s="80"/>
    </row>
    <row r="135" spans="1:8" x14ac:dyDescent="0.2">
      <c r="A135" s="79" t="str">
        <f>A65</f>
        <v>Citrus</v>
      </c>
      <c r="B135" s="80"/>
      <c r="C135" s="80"/>
      <c r="D135" s="80"/>
      <c r="E135" s="80"/>
      <c r="F135" s="80"/>
      <c r="G135" s="80"/>
      <c r="H135" s="80"/>
    </row>
    <row r="136" spans="1:8" x14ac:dyDescent="0.2">
      <c r="A136" s="79"/>
      <c r="B136" s="80"/>
      <c r="C136" s="80"/>
      <c r="D136" s="80"/>
      <c r="E136" s="80"/>
      <c r="F136" s="80"/>
      <c r="G136" s="80"/>
      <c r="H136" s="80"/>
    </row>
    <row r="137" spans="1:8" x14ac:dyDescent="0.2">
      <c r="A137" s="79"/>
      <c r="B137" s="80"/>
      <c r="C137" s="80"/>
      <c r="D137" s="80"/>
      <c r="E137" s="80"/>
      <c r="F137" s="80"/>
      <c r="G137" s="80"/>
      <c r="H137" s="80"/>
    </row>
    <row r="138" spans="1:8" x14ac:dyDescent="0.2">
      <c r="A138" s="79"/>
      <c r="B138" s="80"/>
      <c r="C138" s="80"/>
      <c r="D138" s="80"/>
      <c r="E138" s="80"/>
      <c r="F138" s="80"/>
      <c r="G138" s="80"/>
      <c r="H138" s="80"/>
    </row>
    <row r="139" spans="1:8" x14ac:dyDescent="0.2">
      <c r="A139" s="148"/>
      <c r="B139" s="264"/>
      <c r="C139" s="264"/>
      <c r="D139" s="264"/>
      <c r="E139" s="264"/>
      <c r="F139" s="264"/>
      <c r="G139" s="264"/>
      <c r="H139" s="264"/>
    </row>
    <row r="140" spans="1:8" x14ac:dyDescent="0.2">
      <c r="A140" s="149" t="s">
        <v>435</v>
      </c>
    </row>
    <row r="141" spans="1:8" x14ac:dyDescent="0.2">
      <c r="A141" t="s">
        <v>896</v>
      </c>
      <c r="B141" s="27">
        <f t="shared" ref="B141:H143" si="19">(B124*100)</f>
        <v>0</v>
      </c>
      <c r="C141" s="27">
        <f t="shared" si="19"/>
        <v>0</v>
      </c>
      <c r="D141" s="27">
        <f t="shared" si="19"/>
        <v>0</v>
      </c>
      <c r="E141" s="27">
        <f t="shared" si="19"/>
        <v>0</v>
      </c>
      <c r="F141" s="27">
        <f t="shared" si="19"/>
        <v>0</v>
      </c>
      <c r="G141" s="27">
        <f t="shared" si="19"/>
        <v>0</v>
      </c>
      <c r="H141" s="27">
        <f t="shared" si="19"/>
        <v>0</v>
      </c>
    </row>
    <row r="142" spans="1:8" x14ac:dyDescent="0.2">
      <c r="A142" t="s">
        <v>897</v>
      </c>
      <c r="B142" s="27">
        <f t="shared" si="19"/>
        <v>0</v>
      </c>
      <c r="C142" s="27">
        <f t="shared" si="19"/>
        <v>0</v>
      </c>
      <c r="D142" s="27">
        <f t="shared" si="19"/>
        <v>0</v>
      </c>
      <c r="E142" s="27">
        <f t="shared" si="19"/>
        <v>0</v>
      </c>
      <c r="F142" s="27">
        <f t="shared" si="19"/>
        <v>0</v>
      </c>
      <c r="G142" s="27">
        <f t="shared" si="19"/>
        <v>0</v>
      </c>
      <c r="H142" s="27">
        <f t="shared" si="19"/>
        <v>0</v>
      </c>
    </row>
    <row r="143" spans="1:8" x14ac:dyDescent="0.2">
      <c r="A143" t="s">
        <v>898</v>
      </c>
      <c r="B143" s="27">
        <f t="shared" si="19"/>
        <v>0</v>
      </c>
      <c r="C143" s="27">
        <f t="shared" si="19"/>
        <v>0</v>
      </c>
      <c r="D143" s="27">
        <f t="shared" si="19"/>
        <v>0</v>
      </c>
      <c r="E143" s="27">
        <f t="shared" si="19"/>
        <v>0</v>
      </c>
      <c r="F143" s="27">
        <f t="shared" si="19"/>
        <v>0</v>
      </c>
      <c r="G143" s="27">
        <f t="shared" si="19"/>
        <v>0</v>
      </c>
      <c r="H143" s="27">
        <f t="shared" si="19"/>
        <v>0</v>
      </c>
    </row>
    <row r="145" spans="1:10" x14ac:dyDescent="0.2">
      <c r="B145" s="27"/>
      <c r="C145" s="27"/>
    </row>
    <row r="146" spans="1:10" x14ac:dyDescent="0.2">
      <c r="B146" s="27"/>
      <c r="C146" s="27"/>
      <c r="D146" s="27"/>
    </row>
    <row r="147" spans="1:10" ht="18" x14ac:dyDescent="0.2">
      <c r="A147" s="704" t="s">
        <v>541</v>
      </c>
      <c r="B147" s="704"/>
      <c r="C147" s="704"/>
      <c r="D147" s="704"/>
      <c r="E147" s="704"/>
      <c r="F147" s="704"/>
      <c r="G147" s="704"/>
      <c r="H147" s="704"/>
      <c r="I147" s="704"/>
      <c r="J147" s="704"/>
    </row>
    <row r="148" spans="1:10" x14ac:dyDescent="0.2">
      <c r="A148" s="620"/>
      <c r="B148" s="620"/>
      <c r="C148" s="620"/>
      <c r="D148" s="620"/>
      <c r="E148" s="620"/>
      <c r="F148" s="620"/>
      <c r="G148" s="620"/>
      <c r="H148" s="620"/>
    </row>
    <row r="149" spans="1:10" x14ac:dyDescent="0.2">
      <c r="A149" s="276"/>
      <c r="B149" s="276"/>
      <c r="C149" s="276"/>
      <c r="D149" s="155">
        <v>1</v>
      </c>
      <c r="E149" s="156">
        <f>(D149*5%)+D149</f>
        <v>1.05</v>
      </c>
      <c r="F149" s="156">
        <f t="shared" ref="F149:J149" si="20">(E149*5%)+E149</f>
        <v>1.1025</v>
      </c>
      <c r="G149" s="156">
        <f t="shared" si="20"/>
        <v>1.1576250000000001</v>
      </c>
      <c r="H149" s="156">
        <f t="shared" si="20"/>
        <v>1.2155062500000002</v>
      </c>
      <c r="I149" s="156">
        <f t="shared" si="20"/>
        <v>1.2762815625000004</v>
      </c>
      <c r="J149" s="156">
        <f t="shared" si="20"/>
        <v>1.3400956406250004</v>
      </c>
    </row>
    <row r="150" spans="1:10" x14ac:dyDescent="0.2">
      <c r="A150" s="78"/>
      <c r="B150" s="78"/>
      <c r="C150" s="78"/>
      <c r="D150" s="78"/>
      <c r="E150" s="78"/>
      <c r="F150" s="78"/>
      <c r="G150" s="78"/>
      <c r="H150" s="78"/>
      <c r="I150" s="78"/>
      <c r="J150" s="78"/>
    </row>
    <row r="151" spans="1:10" x14ac:dyDescent="0.2">
      <c r="A151" s="122" t="s">
        <v>0</v>
      </c>
      <c r="B151" s="122" t="s">
        <v>128</v>
      </c>
      <c r="C151" s="122" t="s">
        <v>148</v>
      </c>
      <c r="D151" s="102" t="s">
        <v>2</v>
      </c>
      <c r="E151" s="102" t="s">
        <v>3</v>
      </c>
      <c r="F151" s="102" t="s">
        <v>4</v>
      </c>
      <c r="G151" s="102" t="s">
        <v>5</v>
      </c>
      <c r="H151" s="102" t="s">
        <v>6</v>
      </c>
      <c r="I151" s="102" t="s">
        <v>163</v>
      </c>
      <c r="J151" s="102" t="s">
        <v>162</v>
      </c>
    </row>
    <row r="152" spans="1:10" x14ac:dyDescent="0.2">
      <c r="A152" s="79"/>
      <c r="B152" s="79"/>
      <c r="C152" s="79"/>
      <c r="D152" s="79"/>
      <c r="E152" s="79"/>
      <c r="F152" s="79"/>
      <c r="G152" s="79"/>
      <c r="H152" s="79"/>
      <c r="I152" s="79"/>
      <c r="J152" s="79"/>
    </row>
    <row r="153" spans="1:10" x14ac:dyDescent="0.2">
      <c r="A153" s="81" t="s">
        <v>124</v>
      </c>
      <c r="B153" s="81"/>
      <c r="C153" s="81"/>
      <c r="D153" s="96"/>
      <c r="E153" s="96"/>
      <c r="F153" s="96"/>
      <c r="G153" s="96"/>
      <c r="H153" s="96"/>
      <c r="I153" s="79"/>
      <c r="J153" s="79"/>
    </row>
    <row r="154" spans="1:10" x14ac:dyDescent="0.2">
      <c r="A154" s="79" t="str">
        <f>A124</f>
        <v>Pomegranate Arils</v>
      </c>
      <c r="B154" s="192" t="s">
        <v>899</v>
      </c>
      <c r="C154" s="192">
        <v>150</v>
      </c>
      <c r="D154" s="80">
        <f>(B141*(1-'[4]5.Closing Stock &amp; W Capital'!$D$18)*$C154*D$149)</f>
        <v>0</v>
      </c>
      <c r="E154" s="80">
        <f>(((C141*(1-'[4]5.Closing Stock &amp; W Capital'!$D$18))+(B141*'[4]5.Closing Stock &amp; W Capital'!$D$18))*$C154*E$149)</f>
        <v>0</v>
      </c>
      <c r="F154" s="80">
        <f>(((D141*(1-'[4]5.Closing Stock &amp; W Capital'!$D$18))+(C141*'[4]5.Closing Stock &amp; W Capital'!$D$18))*$C154*F$149)</f>
        <v>0</v>
      </c>
      <c r="G154" s="80">
        <f>(((E141*(1-'[4]5.Closing Stock &amp; W Capital'!$D$18))+(D141*'[4]5.Closing Stock &amp; W Capital'!$D$18))*$C154*G$149)</f>
        <v>0</v>
      </c>
      <c r="H154" s="80">
        <f>(((F141*(1-'[4]5.Closing Stock &amp; W Capital'!$D$18))+(E141*'[4]5.Closing Stock &amp; W Capital'!$D$18))*$C154*H$149)</f>
        <v>0</v>
      </c>
      <c r="I154" s="80">
        <f>(((G141*(1-'[4]5.Closing Stock &amp; W Capital'!$D$18))+(F141*'[4]5.Closing Stock &amp; W Capital'!$D$18))*$C154*I$149)</f>
        <v>0</v>
      </c>
      <c r="J154" s="80">
        <f>(((H141*(1-'[4]5.Closing Stock &amp; W Capital'!$D$18))+(G141*'[4]5.Closing Stock &amp; W Capital'!$D$18))*$C154*J$149)</f>
        <v>0</v>
      </c>
    </row>
    <row r="155" spans="1:10" x14ac:dyDescent="0.2">
      <c r="A155" s="79" t="str">
        <f>A125</f>
        <v>Pomegranate Juice</v>
      </c>
      <c r="B155" s="192" t="s">
        <v>900</v>
      </c>
      <c r="C155" s="192">
        <v>40</v>
      </c>
      <c r="D155" s="80">
        <f>(B142*(1-'[4]5.Closing Stock &amp; W Capital'!$D$18)*$C155*D$149)</f>
        <v>0</v>
      </c>
      <c r="E155" s="80">
        <f>(((C142*(1-'[4]5.Closing Stock &amp; W Capital'!$D$18))+(B142*'[4]5.Closing Stock &amp; W Capital'!$D$18))*$C155*E$149)</f>
        <v>0</v>
      </c>
      <c r="F155" s="80">
        <f>(((D142*(1-'[4]5.Closing Stock &amp; W Capital'!$D$18))+(C142*'[4]5.Closing Stock &amp; W Capital'!$D$18))*$C155*F$149)</f>
        <v>0</v>
      </c>
      <c r="G155" s="80">
        <f>(((E142*(1-'[4]5.Closing Stock &amp; W Capital'!$D$18))+(D142*'[4]5.Closing Stock &amp; W Capital'!$D$18))*$C155*G$149)</f>
        <v>0</v>
      </c>
      <c r="H155" s="80">
        <f>(((F142*(1-'[4]5.Closing Stock &amp; W Capital'!$D$18))+(E142*'[4]5.Closing Stock &amp; W Capital'!$D$18))*$C155*H$149)</f>
        <v>0</v>
      </c>
      <c r="I155" s="80">
        <f>(((G142*(1-'[4]5.Closing Stock &amp; W Capital'!$D$18))+(F142*'[4]5.Closing Stock &amp; W Capital'!$D$18))*$C155*I$149)</f>
        <v>0</v>
      </c>
      <c r="J155" s="80">
        <f>(((H142*(1-'[4]5.Closing Stock &amp; W Capital'!$D$18))+(G142*'[4]5.Closing Stock &amp; W Capital'!$D$18))*$C155*J$149)</f>
        <v>0</v>
      </c>
    </row>
    <row r="156" spans="1:10" x14ac:dyDescent="0.2">
      <c r="A156" s="79" t="str">
        <f>A126</f>
        <v>Pomegranate Powder</v>
      </c>
      <c r="B156" s="192" t="s">
        <v>348</v>
      </c>
      <c r="C156" s="192">
        <v>50</v>
      </c>
      <c r="D156" s="80">
        <f>(B143*(1-'[4]5.Closing Stock &amp; W Capital'!$D$18)*$C156*D$149)</f>
        <v>0</v>
      </c>
      <c r="E156" s="80">
        <f>(((C143*(1-'[4]5.Closing Stock &amp; W Capital'!$D$18))+(B143*'[4]5.Closing Stock &amp; W Capital'!$D$18))*$C156*E$149)</f>
        <v>0</v>
      </c>
      <c r="F156" s="80">
        <f>(((D143*(1-'[4]5.Closing Stock &amp; W Capital'!$D$18))+(C143*'[4]5.Closing Stock &amp; W Capital'!$D$18))*$C156*F$149)</f>
        <v>0</v>
      </c>
      <c r="G156" s="80">
        <f>(((E143*(1-'[4]5.Closing Stock &amp; W Capital'!$D$18))+(D143*'[4]5.Closing Stock &amp; W Capital'!$D$18))*$C156*G$149)</f>
        <v>0</v>
      </c>
      <c r="H156" s="80">
        <f>(((F143*(1-'[4]5.Closing Stock &amp; W Capital'!$D$18))+(E143*'[4]5.Closing Stock &amp; W Capital'!$D$18))*$C156*H$149)</f>
        <v>0</v>
      </c>
      <c r="I156" s="80">
        <f>(((G143*(1-'[4]5.Closing Stock &amp; W Capital'!$D$18))+(F143*'[4]5.Closing Stock &amp; W Capital'!$D$18))*$C156*I$149)</f>
        <v>0</v>
      </c>
      <c r="J156" s="80">
        <f>(((H143*(1-'[4]5.Closing Stock &amp; W Capital'!$D$18))+(G143*'[4]5.Closing Stock &amp; W Capital'!$D$18))*$C156*J$149)</f>
        <v>0</v>
      </c>
    </row>
    <row r="157" spans="1:10" x14ac:dyDescent="0.2">
      <c r="A157" s="79"/>
      <c r="B157" s="192"/>
      <c r="C157" s="192"/>
      <c r="D157" s="80"/>
      <c r="E157" s="80"/>
      <c r="F157" s="80"/>
      <c r="G157" s="80"/>
      <c r="H157" s="80"/>
      <c r="I157" s="80"/>
      <c r="J157" s="80"/>
    </row>
    <row r="158" spans="1:10" x14ac:dyDescent="0.2">
      <c r="A158" s="79"/>
      <c r="B158" s="79"/>
      <c r="C158" s="79"/>
      <c r="D158" s="80"/>
      <c r="E158" s="80"/>
      <c r="F158" s="80"/>
      <c r="G158" s="80"/>
      <c r="H158" s="80"/>
      <c r="I158" s="80"/>
      <c r="J158" s="80"/>
    </row>
    <row r="159" spans="1:10" x14ac:dyDescent="0.2">
      <c r="A159" s="81" t="s">
        <v>124</v>
      </c>
      <c r="B159" s="81"/>
      <c r="C159" s="81"/>
      <c r="D159" s="97">
        <f t="shared" ref="D159:J159" si="21">SUM(D154:D157)</f>
        <v>0</v>
      </c>
      <c r="E159" s="97">
        <f t="shared" si="21"/>
        <v>0</v>
      </c>
      <c r="F159" s="97">
        <f t="shared" si="21"/>
        <v>0</v>
      </c>
      <c r="G159" s="97">
        <f t="shared" si="21"/>
        <v>0</v>
      </c>
      <c r="H159" s="97">
        <f t="shared" si="21"/>
        <v>0</v>
      </c>
      <c r="I159" s="97">
        <f t="shared" si="21"/>
        <v>0</v>
      </c>
      <c r="J159" s="97">
        <f t="shared" si="21"/>
        <v>0</v>
      </c>
    </row>
    <row r="160" spans="1:10" x14ac:dyDescent="0.2">
      <c r="A160" s="79"/>
      <c r="B160" s="79"/>
      <c r="C160" s="79"/>
      <c r="D160" s="80"/>
      <c r="E160" s="80"/>
      <c r="F160" s="80"/>
      <c r="G160" s="80"/>
      <c r="H160" s="80"/>
      <c r="I160" s="80"/>
      <c r="J160" s="80"/>
    </row>
    <row r="161" spans="1:10" x14ac:dyDescent="0.2">
      <c r="A161" s="81" t="s">
        <v>137</v>
      </c>
      <c r="B161" s="81"/>
      <c r="C161" s="81"/>
      <c r="D161" s="80"/>
      <c r="E161" s="80"/>
      <c r="F161" s="80"/>
      <c r="G161" s="80"/>
      <c r="H161" s="80"/>
      <c r="I161" s="80"/>
      <c r="J161" s="80"/>
    </row>
    <row r="162" spans="1:10" x14ac:dyDescent="0.2">
      <c r="A162" s="81" t="s">
        <v>301</v>
      </c>
      <c r="B162" s="81"/>
      <c r="C162" s="79"/>
      <c r="D162" s="80"/>
      <c r="E162" s="80"/>
      <c r="F162" s="80"/>
      <c r="G162" s="80"/>
      <c r="H162" s="80"/>
      <c r="I162" s="80"/>
      <c r="J162" s="80"/>
    </row>
    <row r="163" spans="1:10" x14ac:dyDescent="0.2">
      <c r="A163" s="83" t="s">
        <v>901</v>
      </c>
      <c r="B163" s="192" t="s">
        <v>349</v>
      </c>
      <c r="C163" s="215">
        <v>6000</v>
      </c>
      <c r="D163" s="80">
        <f>B62*$C163*D$149</f>
        <v>0</v>
      </c>
      <c r="E163" s="80">
        <f>C62*$C163*E$149</f>
        <v>0</v>
      </c>
      <c r="F163" s="80">
        <f t="shared" ref="F163:J163" si="22">D62*$C163*F$149</f>
        <v>0</v>
      </c>
      <c r="G163" s="80">
        <f t="shared" si="22"/>
        <v>0</v>
      </c>
      <c r="H163" s="80">
        <f t="shared" si="22"/>
        <v>0</v>
      </c>
      <c r="I163" s="80">
        <f t="shared" si="22"/>
        <v>0</v>
      </c>
      <c r="J163" s="80">
        <f t="shared" si="22"/>
        <v>0</v>
      </c>
    </row>
    <row r="164" spans="1:10" x14ac:dyDescent="0.2">
      <c r="A164" s="79" t="s">
        <v>902</v>
      </c>
      <c r="B164" s="192" t="s">
        <v>349</v>
      </c>
      <c r="C164" s="192">
        <v>2000</v>
      </c>
      <c r="D164" s="80">
        <f>(B62*10%)*$C164*D$149</f>
        <v>0</v>
      </c>
      <c r="E164" s="80">
        <f t="shared" ref="E164:J164" si="23">(C62*10%)*$C164*E$149</f>
        <v>0</v>
      </c>
      <c r="F164" s="80">
        <f t="shared" si="23"/>
        <v>0</v>
      </c>
      <c r="G164" s="80">
        <f t="shared" si="23"/>
        <v>0</v>
      </c>
      <c r="H164" s="80">
        <f t="shared" si="23"/>
        <v>0</v>
      </c>
      <c r="I164" s="80">
        <f t="shared" si="23"/>
        <v>0</v>
      </c>
      <c r="J164" s="80">
        <f t="shared" si="23"/>
        <v>0</v>
      </c>
    </row>
    <row r="165" spans="1:10" x14ac:dyDescent="0.2">
      <c r="A165" s="79" t="s">
        <v>307</v>
      </c>
      <c r="B165" s="192">
        <v>5</v>
      </c>
      <c r="C165" s="192">
        <v>300</v>
      </c>
      <c r="D165" s="80">
        <f t="shared" ref="D165:J165" si="24">B12*$B$165*$C$165*D149</f>
        <v>0</v>
      </c>
      <c r="E165" s="80">
        <f t="shared" si="24"/>
        <v>0</v>
      </c>
      <c r="F165" s="80">
        <f t="shared" si="24"/>
        <v>0</v>
      </c>
      <c r="G165" s="80">
        <f t="shared" si="24"/>
        <v>0</v>
      </c>
      <c r="H165" s="80">
        <f t="shared" si="24"/>
        <v>0</v>
      </c>
      <c r="I165" s="80">
        <f t="shared" si="24"/>
        <v>0</v>
      </c>
      <c r="J165" s="80">
        <f t="shared" si="24"/>
        <v>0</v>
      </c>
    </row>
    <row r="166" spans="1:10" x14ac:dyDescent="0.2">
      <c r="A166" s="79" t="s">
        <v>139</v>
      </c>
      <c r="B166" s="79">
        <f>'[4]2.Capex Details'!H61*0.746*8</f>
        <v>0</v>
      </c>
      <c r="C166" s="192">
        <v>8</v>
      </c>
      <c r="D166" s="80">
        <f t="shared" ref="D166:J166" si="25">$B$166*$C$166*B12*D149</f>
        <v>0</v>
      </c>
      <c r="E166" s="80">
        <f t="shared" si="25"/>
        <v>0</v>
      </c>
      <c r="F166" s="80">
        <f t="shared" si="25"/>
        <v>0</v>
      </c>
      <c r="G166" s="80">
        <f t="shared" si="25"/>
        <v>0</v>
      </c>
      <c r="H166" s="80">
        <f t="shared" si="25"/>
        <v>0</v>
      </c>
      <c r="I166" s="80">
        <f t="shared" si="25"/>
        <v>0</v>
      </c>
      <c r="J166" s="80">
        <f t="shared" si="25"/>
        <v>0</v>
      </c>
    </row>
    <row r="167" spans="1:10" x14ac:dyDescent="0.2">
      <c r="A167" s="79" t="s">
        <v>284</v>
      </c>
      <c r="B167" s="79" t="s">
        <v>349</v>
      </c>
      <c r="C167" s="192">
        <v>10</v>
      </c>
      <c r="D167" s="80">
        <f>B62*$C167*D$149</f>
        <v>0</v>
      </c>
      <c r="E167" s="80">
        <f t="shared" ref="E167:J167" si="26">C62*$C167*E$149</f>
        <v>0</v>
      </c>
      <c r="F167" s="80">
        <f t="shared" si="26"/>
        <v>0</v>
      </c>
      <c r="G167" s="80">
        <f t="shared" si="26"/>
        <v>0</v>
      </c>
      <c r="H167" s="80">
        <f t="shared" si="26"/>
        <v>0</v>
      </c>
      <c r="I167" s="80">
        <f t="shared" si="26"/>
        <v>0</v>
      </c>
      <c r="J167" s="80">
        <f t="shared" si="26"/>
        <v>0</v>
      </c>
    </row>
    <row r="168" spans="1:10" x14ac:dyDescent="0.2">
      <c r="A168" s="91" t="s">
        <v>285</v>
      </c>
      <c r="B168" s="91"/>
      <c r="C168" s="217">
        <v>2</v>
      </c>
      <c r="D168" s="80">
        <f>SUM(B141:B143)*$C$168*D$149</f>
        <v>0</v>
      </c>
      <c r="E168" s="80">
        <f t="shared" ref="E168:J168" si="27">SUM(C141:C143)*$C$168*E$149</f>
        <v>0</v>
      </c>
      <c r="F168" s="80">
        <f t="shared" si="27"/>
        <v>0</v>
      </c>
      <c r="G168" s="80">
        <f t="shared" si="27"/>
        <v>0</v>
      </c>
      <c r="H168" s="80">
        <f t="shared" si="27"/>
        <v>0</v>
      </c>
      <c r="I168" s="80">
        <f t="shared" si="27"/>
        <v>0</v>
      </c>
      <c r="J168" s="80">
        <f t="shared" si="27"/>
        <v>0</v>
      </c>
    </row>
    <row r="169" spans="1:10" x14ac:dyDescent="0.2">
      <c r="A169" s="79" t="s">
        <v>286</v>
      </c>
      <c r="B169" s="79"/>
      <c r="C169" s="192">
        <v>1</v>
      </c>
      <c r="D169" s="80">
        <f>SUM(B141:B143)*$C$169*D$149</f>
        <v>0</v>
      </c>
      <c r="E169" s="80">
        <f t="shared" ref="E169:J169" si="28">SUM(C141:C143)*$C$169*E$149</f>
        <v>0</v>
      </c>
      <c r="F169" s="80">
        <f t="shared" si="28"/>
        <v>0</v>
      </c>
      <c r="G169" s="80">
        <f t="shared" si="28"/>
        <v>0</v>
      </c>
      <c r="H169" s="80">
        <f t="shared" si="28"/>
        <v>0</v>
      </c>
      <c r="I169" s="80">
        <f t="shared" si="28"/>
        <v>0</v>
      </c>
      <c r="J169" s="80">
        <f t="shared" si="28"/>
        <v>0</v>
      </c>
    </row>
    <row r="170" spans="1:10" x14ac:dyDescent="0.2">
      <c r="A170" s="10"/>
      <c r="B170" s="10"/>
      <c r="C170" s="10"/>
      <c r="D170" s="10"/>
      <c r="E170" s="10"/>
      <c r="F170" s="10"/>
      <c r="G170" s="10"/>
      <c r="H170" s="10"/>
      <c r="I170" s="10"/>
      <c r="J170" s="10"/>
    </row>
    <row r="171" spans="1:10" x14ac:dyDescent="0.2">
      <c r="A171" s="10"/>
      <c r="B171" s="10"/>
      <c r="C171" s="10"/>
      <c r="D171" s="10"/>
      <c r="E171" s="10"/>
      <c r="F171" s="10"/>
      <c r="G171" s="10"/>
      <c r="H171" s="10"/>
      <c r="I171" s="10"/>
      <c r="J171" s="10"/>
    </row>
    <row r="172" spans="1:10" x14ac:dyDescent="0.2">
      <c r="A172" s="10"/>
      <c r="B172" s="10"/>
      <c r="C172" s="10"/>
      <c r="D172" s="10"/>
      <c r="E172" s="10"/>
      <c r="F172" s="10"/>
      <c r="G172" s="10"/>
      <c r="H172" s="10"/>
      <c r="I172" s="10"/>
      <c r="J172" s="10"/>
    </row>
    <row r="173" spans="1:10" x14ac:dyDescent="0.2">
      <c r="A173" s="10"/>
      <c r="B173" s="10"/>
      <c r="C173" s="10"/>
      <c r="D173" s="10"/>
      <c r="E173" s="10"/>
      <c r="F173" s="10"/>
      <c r="G173" s="10"/>
      <c r="H173" s="10"/>
      <c r="I173" s="10"/>
      <c r="J173" s="10"/>
    </row>
    <row r="174" spans="1:10" x14ac:dyDescent="0.2">
      <c r="A174" s="157" t="s">
        <v>329</v>
      </c>
      <c r="B174" s="80"/>
      <c r="C174" s="80"/>
      <c r="D174" s="80"/>
      <c r="E174" s="80">
        <f>'[4]5.Closing Stock &amp; W Capital'!F8</f>
        <v>0</v>
      </c>
      <c r="F174" s="80">
        <f>'[4]5.Closing Stock &amp; W Capital'!G8</f>
        <v>0</v>
      </c>
      <c r="G174" s="80">
        <f>'[4]5.Closing Stock &amp; W Capital'!H8</f>
        <v>0</v>
      </c>
      <c r="H174" s="80">
        <f>'[4]5.Closing Stock &amp; W Capital'!I8</f>
        <v>0</v>
      </c>
      <c r="I174" s="80">
        <f>'[4]5.Closing Stock &amp; W Capital'!J8</f>
        <v>0</v>
      </c>
      <c r="J174" s="80">
        <f>'[4]5.Closing Stock &amp; W Capital'!K8</f>
        <v>0</v>
      </c>
    </row>
    <row r="175" spans="1:10" x14ac:dyDescent="0.2">
      <c r="A175" s="157" t="s">
        <v>330</v>
      </c>
      <c r="B175" s="80"/>
      <c r="C175" s="80"/>
      <c r="D175" s="80">
        <f>'[4]5.Closing Stock &amp; W Capital'!E17</f>
        <v>0</v>
      </c>
      <c r="E175" s="80">
        <f>'[4]5.Closing Stock &amp; W Capital'!F17</f>
        <v>0</v>
      </c>
      <c r="F175" s="80">
        <f>'[4]5.Closing Stock &amp; W Capital'!G17</f>
        <v>0</v>
      </c>
      <c r="G175" s="80">
        <f>'[4]5.Closing Stock &amp; W Capital'!H17</f>
        <v>0</v>
      </c>
      <c r="H175" s="80">
        <f>'[4]5.Closing Stock &amp; W Capital'!I17</f>
        <v>0</v>
      </c>
      <c r="I175" s="80">
        <f>'[4]5.Closing Stock &amp; W Capital'!J17</f>
        <v>0</v>
      </c>
      <c r="J175" s="80">
        <f>'[4]5.Closing Stock &amp; W Capital'!K17</f>
        <v>0</v>
      </c>
    </row>
    <row r="176" spans="1:10" x14ac:dyDescent="0.2">
      <c r="A176" s="80"/>
      <c r="B176" s="80"/>
      <c r="C176" s="80"/>
      <c r="D176" s="80"/>
      <c r="E176" s="80"/>
      <c r="F176" s="80"/>
      <c r="G176" s="80"/>
      <c r="H176" s="80"/>
      <c r="I176" s="80"/>
      <c r="J176" s="80"/>
    </row>
    <row r="177" spans="1:10" x14ac:dyDescent="0.2">
      <c r="A177" s="97" t="s">
        <v>308</v>
      </c>
      <c r="B177" s="80"/>
      <c r="C177" s="80"/>
      <c r="D177" s="97">
        <f t="shared" ref="D177:J177" si="29">SUM(D163:D174)-D175</f>
        <v>0</v>
      </c>
      <c r="E177" s="97">
        <f t="shared" si="29"/>
        <v>0</v>
      </c>
      <c r="F177" s="97">
        <f t="shared" si="29"/>
        <v>0</v>
      </c>
      <c r="G177" s="97">
        <f t="shared" si="29"/>
        <v>0</v>
      </c>
      <c r="H177" s="97">
        <f t="shared" si="29"/>
        <v>0</v>
      </c>
      <c r="I177" s="97">
        <f t="shared" si="29"/>
        <v>0</v>
      </c>
      <c r="J177" s="97">
        <f t="shared" si="29"/>
        <v>0</v>
      </c>
    </row>
    <row r="178" spans="1:10" x14ac:dyDescent="0.2">
      <c r="A178" s="78"/>
      <c r="B178" s="78"/>
      <c r="C178" s="78"/>
      <c r="D178" s="78"/>
      <c r="E178" s="78"/>
      <c r="F178" s="78"/>
      <c r="G178" s="78"/>
      <c r="H178" s="78"/>
      <c r="I178" s="78"/>
      <c r="J178" s="78"/>
    </row>
    <row r="179" spans="1:10" x14ac:dyDescent="0.2">
      <c r="A179" s="158" t="s">
        <v>299</v>
      </c>
      <c r="B179" s="158"/>
      <c r="C179" s="158"/>
      <c r="D179" s="97"/>
      <c r="E179" s="97"/>
      <c r="F179" s="97"/>
      <c r="G179" s="97"/>
      <c r="H179" s="97"/>
      <c r="I179" s="97"/>
      <c r="J179" s="97"/>
    </row>
    <row r="180" spans="1:10" x14ac:dyDescent="0.2">
      <c r="A180" s="79" t="s">
        <v>182</v>
      </c>
      <c r="B180" s="192">
        <v>1</v>
      </c>
      <c r="C180" s="215"/>
      <c r="D180" s="80">
        <f t="shared" ref="D180:J180" si="30">$B$180*$C$180*12*D149</f>
        <v>0</v>
      </c>
      <c r="E180" s="80">
        <f t="shared" si="30"/>
        <v>0</v>
      </c>
      <c r="F180" s="80">
        <f t="shared" si="30"/>
        <v>0</v>
      </c>
      <c r="G180" s="80">
        <f t="shared" si="30"/>
        <v>0</v>
      </c>
      <c r="H180" s="80">
        <f t="shared" si="30"/>
        <v>0</v>
      </c>
      <c r="I180" s="80">
        <f t="shared" si="30"/>
        <v>0</v>
      </c>
      <c r="J180" s="80">
        <f t="shared" si="30"/>
        <v>0</v>
      </c>
    </row>
    <row r="181" spans="1:10" x14ac:dyDescent="0.2">
      <c r="A181" s="79" t="s">
        <v>184</v>
      </c>
      <c r="B181" s="192">
        <v>2</v>
      </c>
      <c r="C181" s="215"/>
      <c r="D181" s="80">
        <f t="shared" ref="D181:J181" si="31">$B$181*$C$181*12*D149</f>
        <v>0</v>
      </c>
      <c r="E181" s="80">
        <f t="shared" si="31"/>
        <v>0</v>
      </c>
      <c r="F181" s="80">
        <f t="shared" si="31"/>
        <v>0</v>
      </c>
      <c r="G181" s="80">
        <f t="shared" si="31"/>
        <v>0</v>
      </c>
      <c r="H181" s="80">
        <f t="shared" si="31"/>
        <v>0</v>
      </c>
      <c r="I181" s="80">
        <f t="shared" si="31"/>
        <v>0</v>
      </c>
      <c r="J181" s="80">
        <f t="shared" si="31"/>
        <v>0</v>
      </c>
    </row>
    <row r="182" spans="1:10" x14ac:dyDescent="0.2">
      <c r="A182" s="79"/>
      <c r="B182" s="192"/>
      <c r="C182" s="215"/>
      <c r="D182" s="80"/>
      <c r="E182" s="80"/>
      <c r="F182" s="80"/>
      <c r="G182" s="80"/>
      <c r="H182" s="80"/>
      <c r="I182" s="80"/>
      <c r="J182" s="80"/>
    </row>
    <row r="183" spans="1:10" x14ac:dyDescent="0.2">
      <c r="A183" s="79"/>
      <c r="B183" s="192"/>
      <c r="C183" s="215"/>
      <c r="D183" s="80"/>
      <c r="E183" s="80"/>
      <c r="F183" s="80"/>
      <c r="G183" s="80"/>
      <c r="H183" s="80"/>
      <c r="I183" s="80"/>
      <c r="J183" s="80"/>
    </row>
    <row r="184" spans="1:10" x14ac:dyDescent="0.2">
      <c r="A184" s="79"/>
      <c r="B184" s="192"/>
      <c r="C184" s="215"/>
      <c r="D184" s="80"/>
      <c r="E184" s="80"/>
      <c r="F184" s="80"/>
      <c r="G184" s="80"/>
      <c r="H184" s="80"/>
      <c r="I184" s="80"/>
      <c r="J184" s="80"/>
    </row>
    <row r="185" spans="1:10" x14ac:dyDescent="0.2">
      <c r="A185" s="81" t="s">
        <v>299</v>
      </c>
      <c r="B185" s="81"/>
      <c r="C185" s="81"/>
      <c r="D185" s="97">
        <f>SUM(D180:D184)</f>
        <v>0</v>
      </c>
      <c r="E185" s="97">
        <f t="shared" ref="E185:J185" si="32">SUM(E180:E184)</f>
        <v>0</v>
      </c>
      <c r="F185" s="97">
        <f t="shared" si="32"/>
        <v>0</v>
      </c>
      <c r="G185" s="97">
        <f t="shared" si="32"/>
        <v>0</v>
      </c>
      <c r="H185" s="97">
        <f t="shared" si="32"/>
        <v>0</v>
      </c>
      <c r="I185" s="97">
        <f t="shared" si="32"/>
        <v>0</v>
      </c>
      <c r="J185" s="97">
        <f t="shared" si="32"/>
        <v>0</v>
      </c>
    </row>
    <row r="186" spans="1:10" x14ac:dyDescent="0.2">
      <c r="A186" s="158" t="s">
        <v>287</v>
      </c>
      <c r="B186" s="158"/>
      <c r="C186" s="158"/>
      <c r="D186" s="97">
        <f>D177+D185</f>
        <v>0</v>
      </c>
      <c r="E186" s="97">
        <f t="shared" ref="E186:J186" si="33">E177+E185</f>
        <v>0</v>
      </c>
      <c r="F186" s="97">
        <f t="shared" si="33"/>
        <v>0</v>
      </c>
      <c r="G186" s="97">
        <f t="shared" si="33"/>
        <v>0</v>
      </c>
      <c r="H186" s="97">
        <f t="shared" si="33"/>
        <v>0</v>
      </c>
      <c r="I186" s="97">
        <f t="shared" si="33"/>
        <v>0</v>
      </c>
      <c r="J186" s="97">
        <f t="shared" si="33"/>
        <v>0</v>
      </c>
    </row>
    <row r="187" spans="1:10" x14ac:dyDescent="0.2">
      <c r="A187" s="79"/>
      <c r="B187" s="79"/>
      <c r="C187" s="79"/>
      <c r="D187" s="80"/>
      <c r="E187" s="80"/>
      <c r="F187" s="80"/>
      <c r="G187" s="80"/>
      <c r="H187" s="80"/>
      <c r="I187" s="80"/>
      <c r="J187" s="80"/>
    </row>
    <row r="188" spans="1:10" x14ac:dyDescent="0.2">
      <c r="A188" s="81" t="s">
        <v>7</v>
      </c>
      <c r="B188" s="81"/>
      <c r="C188" s="81"/>
      <c r="D188" s="97">
        <f t="shared" ref="D188:J188" si="34">D159-D186</f>
        <v>0</v>
      </c>
      <c r="E188" s="97">
        <f t="shared" si="34"/>
        <v>0</v>
      </c>
      <c r="F188" s="97">
        <f t="shared" si="34"/>
        <v>0</v>
      </c>
      <c r="G188" s="97">
        <f t="shared" si="34"/>
        <v>0</v>
      </c>
      <c r="H188" s="97">
        <f t="shared" si="34"/>
        <v>0</v>
      </c>
      <c r="I188" s="97">
        <f t="shared" si="34"/>
        <v>0</v>
      </c>
      <c r="J188" s="97">
        <f t="shared" si="34"/>
        <v>0</v>
      </c>
    </row>
    <row r="189" spans="1:10" x14ac:dyDescent="0.2">
      <c r="A189" s="98"/>
      <c r="B189" s="98"/>
      <c r="C189" s="98"/>
      <c r="D189" s="78"/>
      <c r="E189" s="78"/>
      <c r="F189" s="78"/>
      <c r="G189" s="78"/>
      <c r="H189" s="78"/>
      <c r="I189" s="78"/>
      <c r="J189" s="78"/>
    </row>
    <row r="190" spans="1:10" x14ac:dyDescent="0.2">
      <c r="A190" s="78"/>
      <c r="B190" s="78"/>
      <c r="C190" s="78"/>
      <c r="D190" s="78"/>
      <c r="E190" s="78"/>
      <c r="F190" s="78"/>
      <c r="G190" s="78"/>
      <c r="H190" s="78"/>
      <c r="I190" s="78"/>
      <c r="J190" s="78"/>
    </row>
    <row r="191" spans="1:10" x14ac:dyDescent="0.2">
      <c r="A191" s="78"/>
      <c r="B191" s="78"/>
      <c r="C191" s="78"/>
      <c r="D191" s="78"/>
      <c r="E191" s="78"/>
      <c r="F191" s="78"/>
      <c r="G191" s="78"/>
      <c r="H191" s="78"/>
      <c r="I191" s="78"/>
      <c r="J191" s="78"/>
    </row>
    <row r="192" spans="1:10" x14ac:dyDescent="0.2">
      <c r="A192" s="705" t="s">
        <v>406</v>
      </c>
      <c r="B192" s="705"/>
      <c r="C192" s="705"/>
      <c r="D192" s="705"/>
      <c r="E192" s="705"/>
      <c r="F192" s="705"/>
      <c r="G192" s="705"/>
      <c r="H192" s="705"/>
      <c r="I192" s="705"/>
      <c r="J192" s="705"/>
    </row>
    <row r="194" spans="1:5" x14ac:dyDescent="0.2">
      <c r="A194" t="s">
        <v>486</v>
      </c>
    </row>
    <row r="195" spans="1:5" x14ac:dyDescent="0.2">
      <c r="A195">
        <v>1</v>
      </c>
      <c r="B195" t="s">
        <v>496</v>
      </c>
    </row>
    <row r="196" spans="1:5" x14ac:dyDescent="0.2">
      <c r="A196">
        <v>2</v>
      </c>
      <c r="B196" t="s">
        <v>497</v>
      </c>
      <c r="C196" s="56"/>
      <c r="D196" s="56"/>
      <c r="E196" s="56"/>
    </row>
    <row r="197" spans="1:5" x14ac:dyDescent="0.2">
      <c r="A197">
        <v>3</v>
      </c>
      <c r="B197" s="78" t="s">
        <v>542</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J56"/>
  <sheetViews>
    <sheetView view="pageBreakPreview" zoomScale="40" zoomScaleSheetLayoutView="40" workbookViewId="0" xr3:uid="{33642244-9AC9-5136-AF77-195C889548CE}">
      <selection activeCell="P84" sqref="P84"/>
    </sheetView>
  </sheetViews>
  <sheetFormatPr defaultRowHeight="15" x14ac:dyDescent="0.2"/>
  <cols>
    <col min="1" max="1" width="30.40234375" bestFit="1" customWidth="1"/>
    <col min="2" max="2" width="9.81640625" customWidth="1"/>
    <col min="3" max="3" width="11.1640625" customWidth="1"/>
    <col min="4" max="10" width="9.55078125" bestFit="1" customWidth="1"/>
  </cols>
  <sheetData>
    <row r="2" spans="1:10" ht="18" x14ac:dyDescent="0.2">
      <c r="A2" s="784" t="s">
        <v>531</v>
      </c>
      <c r="B2" s="784"/>
      <c r="C2" s="784"/>
      <c r="D2" s="784"/>
      <c r="E2" s="784"/>
      <c r="F2" s="784"/>
      <c r="G2" s="784"/>
      <c r="H2" s="784"/>
    </row>
    <row r="3" spans="1:10" ht="18" x14ac:dyDescent="0.2">
      <c r="A3" s="784" t="s">
        <v>532</v>
      </c>
      <c r="B3" s="784"/>
      <c r="C3" s="784"/>
      <c r="D3" s="784"/>
      <c r="E3" s="784"/>
      <c r="F3" s="784"/>
      <c r="G3" s="784"/>
      <c r="H3" s="784"/>
    </row>
    <row r="4" spans="1:10" x14ac:dyDescent="0.2">
      <c r="A4" s="149" t="s">
        <v>156</v>
      </c>
      <c r="B4" s="220"/>
      <c r="C4" s="147" t="s">
        <v>288</v>
      </c>
      <c r="D4" s="147"/>
      <c r="E4" s="147"/>
      <c r="F4" s="147"/>
      <c r="G4" s="148"/>
      <c r="H4" s="78"/>
    </row>
    <row r="5" spans="1:10" x14ac:dyDescent="0.2">
      <c r="A5" s="149"/>
      <c r="B5" s="150"/>
      <c r="C5" s="148"/>
      <c r="D5" s="148"/>
      <c r="E5" s="148"/>
      <c r="F5" s="148"/>
      <c r="G5" s="148"/>
      <c r="H5" s="78"/>
    </row>
    <row r="6" spans="1:10" x14ac:dyDescent="0.2">
      <c r="A6" s="149" t="s">
        <v>290</v>
      </c>
      <c r="B6" s="151">
        <v>12</v>
      </c>
      <c r="C6" s="148"/>
      <c r="D6" s="151"/>
      <c r="E6" s="151"/>
      <c r="F6" s="148"/>
      <c r="G6" s="148"/>
      <c r="H6" s="78"/>
    </row>
    <row r="7" spans="1:10" x14ac:dyDescent="0.2">
      <c r="A7" s="149"/>
      <c r="B7" s="78"/>
      <c r="C7" s="151"/>
      <c r="D7" s="151"/>
      <c r="E7" s="151"/>
      <c r="F7" s="148"/>
      <c r="G7" s="148"/>
      <c r="H7" s="78"/>
    </row>
    <row r="8" spans="1:10" x14ac:dyDescent="0.2">
      <c r="A8" s="122" t="s">
        <v>125</v>
      </c>
      <c r="B8" s="102" t="s">
        <v>2</v>
      </c>
      <c r="C8" s="102" t="s">
        <v>3</v>
      </c>
      <c r="D8" s="102" t="s">
        <v>4</v>
      </c>
      <c r="E8" s="102" t="s">
        <v>5</v>
      </c>
      <c r="F8" s="102" t="s">
        <v>6</v>
      </c>
      <c r="G8" s="102" t="s">
        <v>163</v>
      </c>
      <c r="H8" s="102" t="s">
        <v>162</v>
      </c>
    </row>
    <row r="9" spans="1:10" x14ac:dyDescent="0.2">
      <c r="A9" s="79" t="s">
        <v>291</v>
      </c>
      <c r="B9" s="238">
        <v>0.8</v>
      </c>
      <c r="C9" s="238">
        <f>B9+5%</f>
        <v>0.85000000000000009</v>
      </c>
      <c r="D9" s="238">
        <f>C9+5%</f>
        <v>0.90000000000000013</v>
      </c>
      <c r="E9" s="238">
        <f>D9+5%</f>
        <v>0.95000000000000018</v>
      </c>
      <c r="F9" s="238">
        <f>E9+5%</f>
        <v>1.0000000000000002</v>
      </c>
      <c r="G9" s="238">
        <f>F9</f>
        <v>1.0000000000000002</v>
      </c>
      <c r="H9" s="238">
        <f>G9</f>
        <v>1.0000000000000002</v>
      </c>
    </row>
    <row r="10" spans="1:10" x14ac:dyDescent="0.2">
      <c r="A10" s="81" t="s">
        <v>309</v>
      </c>
      <c r="B10" s="153">
        <f t="shared" ref="B10:H10" si="0">$B$4*B9*$B$6</f>
        <v>0</v>
      </c>
      <c r="C10" s="153">
        <f t="shared" si="0"/>
        <v>0</v>
      </c>
      <c r="D10" s="153">
        <f t="shared" si="0"/>
        <v>0</v>
      </c>
      <c r="E10" s="153">
        <f t="shared" si="0"/>
        <v>0</v>
      </c>
      <c r="F10" s="153">
        <f t="shared" si="0"/>
        <v>0</v>
      </c>
      <c r="G10" s="153">
        <f t="shared" si="0"/>
        <v>0</v>
      </c>
      <c r="H10" s="153">
        <f t="shared" si="0"/>
        <v>0</v>
      </c>
    </row>
    <row r="15" spans="1:10" ht="18" x14ac:dyDescent="0.2">
      <c r="A15" s="704" t="s">
        <v>533</v>
      </c>
      <c r="B15" s="704"/>
      <c r="C15" s="704"/>
      <c r="D15" s="704"/>
      <c r="E15" s="704"/>
      <c r="F15" s="704"/>
      <c r="G15" s="704"/>
      <c r="H15" s="704"/>
      <c r="I15" s="704"/>
      <c r="J15" s="704"/>
    </row>
    <row r="16" spans="1:10" x14ac:dyDescent="0.2">
      <c r="A16" s="14"/>
      <c r="B16" s="52"/>
      <c r="C16" s="28"/>
      <c r="D16" s="14"/>
      <c r="E16" s="14"/>
      <c r="F16" s="14"/>
      <c r="G16" s="14"/>
      <c r="H16" s="14"/>
    </row>
    <row r="17" spans="1:10" x14ac:dyDescent="0.2">
      <c r="A17" s="78"/>
      <c r="B17" s="78"/>
      <c r="C17" s="78"/>
      <c r="D17" s="143">
        <v>1</v>
      </c>
      <c r="E17" s="146">
        <f>(D17*5%)+D17</f>
        <v>1.05</v>
      </c>
      <c r="F17" s="146">
        <f t="shared" ref="F17:J17" si="1">(E17*5%)+E17</f>
        <v>1.1025</v>
      </c>
      <c r="G17" s="146">
        <f t="shared" si="1"/>
        <v>1.1576250000000001</v>
      </c>
      <c r="H17" s="146">
        <f t="shared" si="1"/>
        <v>1.2155062500000002</v>
      </c>
      <c r="I17" s="146">
        <f t="shared" si="1"/>
        <v>1.2762815625000004</v>
      </c>
      <c r="J17" s="146">
        <f t="shared" si="1"/>
        <v>1.3400956406250004</v>
      </c>
    </row>
    <row r="18" spans="1:10" x14ac:dyDescent="0.2">
      <c r="A18" s="122" t="s">
        <v>0</v>
      </c>
      <c r="B18" s="122" t="s">
        <v>128</v>
      </c>
      <c r="C18" s="122" t="s">
        <v>148</v>
      </c>
      <c r="D18" s="102" t="s">
        <v>2</v>
      </c>
      <c r="E18" s="102" t="s">
        <v>3</v>
      </c>
      <c r="F18" s="102" t="s">
        <v>4</v>
      </c>
      <c r="G18" s="102" t="s">
        <v>5</v>
      </c>
      <c r="H18" s="102" t="s">
        <v>6</v>
      </c>
      <c r="I18" s="102" t="s">
        <v>163</v>
      </c>
      <c r="J18" s="102" t="s">
        <v>162</v>
      </c>
    </row>
    <row r="19" spans="1:10" x14ac:dyDescent="0.2">
      <c r="A19" s="79"/>
      <c r="B19" s="79"/>
      <c r="C19" s="79"/>
      <c r="D19" s="79"/>
      <c r="E19" s="79"/>
      <c r="F19" s="79"/>
      <c r="G19" s="79"/>
      <c r="H19" s="79"/>
      <c r="I19" s="79"/>
      <c r="J19" s="79"/>
    </row>
    <row r="20" spans="1:10" x14ac:dyDescent="0.2">
      <c r="A20" s="81" t="s">
        <v>171</v>
      </c>
      <c r="B20" s="81"/>
      <c r="C20" s="81"/>
      <c r="D20" s="79"/>
      <c r="E20" s="79"/>
      <c r="F20" s="79"/>
      <c r="G20" s="79"/>
      <c r="H20" s="79"/>
      <c r="I20" s="79"/>
      <c r="J20" s="79"/>
    </row>
    <row r="21" spans="1:10" x14ac:dyDescent="0.2">
      <c r="A21" s="79" t="s">
        <v>311</v>
      </c>
      <c r="B21" s="79"/>
      <c r="C21" s="215">
        <v>100</v>
      </c>
      <c r="D21" s="80">
        <f t="shared" ref="D21:J21" si="2">B10*$C$21*D17</f>
        <v>0</v>
      </c>
      <c r="E21" s="80">
        <f t="shared" si="2"/>
        <v>0</v>
      </c>
      <c r="F21" s="80">
        <f t="shared" si="2"/>
        <v>0</v>
      </c>
      <c r="G21" s="80">
        <f t="shared" si="2"/>
        <v>0</v>
      </c>
      <c r="H21" s="80">
        <f t="shared" si="2"/>
        <v>0</v>
      </c>
      <c r="I21" s="80">
        <f t="shared" si="2"/>
        <v>0</v>
      </c>
      <c r="J21" s="80">
        <f t="shared" si="2"/>
        <v>0</v>
      </c>
    </row>
    <row r="22" spans="1:10" x14ac:dyDescent="0.2">
      <c r="A22" s="79"/>
      <c r="B22" s="79"/>
      <c r="C22" s="80"/>
      <c r="D22" s="80"/>
      <c r="E22" s="80"/>
      <c r="F22" s="80"/>
      <c r="G22" s="80"/>
      <c r="H22" s="80"/>
      <c r="I22" s="80"/>
      <c r="J22" s="80"/>
    </row>
    <row r="23" spans="1:10" x14ac:dyDescent="0.2">
      <c r="A23" s="81" t="s">
        <v>138</v>
      </c>
      <c r="B23" s="81"/>
      <c r="C23" s="97"/>
      <c r="D23" s="80">
        <f t="shared" ref="D23:J23" si="3">SUM(D21:D21)</f>
        <v>0</v>
      </c>
      <c r="E23" s="80">
        <f t="shared" si="3"/>
        <v>0</v>
      </c>
      <c r="F23" s="80">
        <f t="shared" si="3"/>
        <v>0</v>
      </c>
      <c r="G23" s="80">
        <f t="shared" si="3"/>
        <v>0</v>
      </c>
      <c r="H23" s="80">
        <f t="shared" si="3"/>
        <v>0</v>
      </c>
      <c r="I23" s="80">
        <f t="shared" si="3"/>
        <v>0</v>
      </c>
      <c r="J23" s="80">
        <f t="shared" si="3"/>
        <v>0</v>
      </c>
    </row>
    <row r="24" spans="1:10" x14ac:dyDescent="0.2">
      <c r="A24" s="79"/>
      <c r="B24" s="79"/>
      <c r="C24" s="80"/>
      <c r="D24" s="80"/>
      <c r="E24" s="80"/>
      <c r="F24" s="80"/>
      <c r="G24" s="80"/>
      <c r="H24" s="80"/>
      <c r="I24" s="80"/>
      <c r="J24" s="80"/>
    </row>
    <row r="25" spans="1:10" x14ac:dyDescent="0.2">
      <c r="A25" s="81" t="s">
        <v>137</v>
      </c>
      <c r="B25" s="81"/>
      <c r="C25" s="80"/>
      <c r="D25" s="80"/>
      <c r="E25" s="80"/>
      <c r="F25" s="80"/>
      <c r="G25" s="80"/>
      <c r="H25" s="80"/>
      <c r="I25" s="80"/>
      <c r="J25" s="80"/>
    </row>
    <row r="26" spans="1:10" x14ac:dyDescent="0.2">
      <c r="A26" s="81" t="s">
        <v>301</v>
      </c>
      <c r="B26" s="81"/>
      <c r="C26" s="80"/>
      <c r="D26" s="80"/>
      <c r="E26" s="80"/>
      <c r="F26" s="80"/>
      <c r="G26" s="80"/>
      <c r="H26" s="80"/>
      <c r="I26" s="80"/>
      <c r="J26" s="80"/>
    </row>
    <row r="27" spans="1:10" x14ac:dyDescent="0.2">
      <c r="A27" s="79" t="s">
        <v>292</v>
      </c>
      <c r="B27" s="192" t="s">
        <v>288</v>
      </c>
      <c r="C27" s="215">
        <v>15</v>
      </c>
      <c r="D27" s="80">
        <f t="shared" ref="D27:J27" si="4">$B$4*$C$27*D17*4</f>
        <v>0</v>
      </c>
      <c r="E27" s="80">
        <f t="shared" si="4"/>
        <v>0</v>
      </c>
      <c r="F27" s="80">
        <f t="shared" si="4"/>
        <v>0</v>
      </c>
      <c r="G27" s="80">
        <f t="shared" si="4"/>
        <v>0</v>
      </c>
      <c r="H27" s="80">
        <f t="shared" si="4"/>
        <v>0</v>
      </c>
      <c r="I27" s="80">
        <f t="shared" si="4"/>
        <v>0</v>
      </c>
      <c r="J27" s="80">
        <f t="shared" si="4"/>
        <v>0</v>
      </c>
    </row>
    <row r="28" spans="1:10" x14ac:dyDescent="0.2">
      <c r="A28" s="79" t="s">
        <v>293</v>
      </c>
      <c r="B28" s="192" t="s">
        <v>288</v>
      </c>
      <c r="C28" s="215">
        <v>14</v>
      </c>
      <c r="D28" s="80">
        <f t="shared" ref="D28:J28" si="5">$B$4*$C$28*D17*12</f>
        <v>0</v>
      </c>
      <c r="E28" s="80">
        <f t="shared" si="5"/>
        <v>0</v>
      </c>
      <c r="F28" s="80">
        <f t="shared" si="5"/>
        <v>0</v>
      </c>
      <c r="G28" s="80">
        <f t="shared" si="5"/>
        <v>0</v>
      </c>
      <c r="H28" s="80">
        <f t="shared" si="5"/>
        <v>0</v>
      </c>
      <c r="I28" s="80">
        <f t="shared" si="5"/>
        <v>0</v>
      </c>
      <c r="J28" s="80">
        <f t="shared" si="5"/>
        <v>0</v>
      </c>
    </row>
    <row r="29" spans="1:10" x14ac:dyDescent="0.2">
      <c r="A29" s="79" t="s">
        <v>294</v>
      </c>
      <c r="B29" s="192"/>
      <c r="C29" s="215">
        <f>B4*10</f>
        <v>0</v>
      </c>
      <c r="D29" s="80">
        <f>$C$29*12*D17</f>
        <v>0</v>
      </c>
      <c r="E29" s="80">
        <f t="shared" ref="E29:J29" si="6">$C$29*12*E17</f>
        <v>0</v>
      </c>
      <c r="F29" s="80">
        <f t="shared" si="6"/>
        <v>0</v>
      </c>
      <c r="G29" s="80">
        <f t="shared" si="6"/>
        <v>0</v>
      </c>
      <c r="H29" s="80">
        <f t="shared" si="6"/>
        <v>0</v>
      </c>
      <c r="I29" s="80">
        <f t="shared" si="6"/>
        <v>0</v>
      </c>
      <c r="J29" s="80">
        <f t="shared" si="6"/>
        <v>0</v>
      </c>
    </row>
    <row r="30" spans="1:10" x14ac:dyDescent="0.2">
      <c r="A30" s="79"/>
      <c r="B30" s="192"/>
      <c r="C30" s="215"/>
      <c r="D30" s="80"/>
      <c r="E30" s="80"/>
      <c r="F30" s="80"/>
      <c r="G30" s="80"/>
      <c r="H30" s="80"/>
      <c r="I30" s="80"/>
      <c r="J30" s="80"/>
    </row>
    <row r="31" spans="1:10" x14ac:dyDescent="0.2">
      <c r="A31" s="79"/>
      <c r="B31" s="192"/>
      <c r="C31" s="215"/>
      <c r="D31" s="80"/>
      <c r="E31" s="80"/>
      <c r="F31" s="80"/>
      <c r="G31" s="80"/>
      <c r="H31" s="80"/>
      <c r="I31" s="80"/>
      <c r="J31" s="80"/>
    </row>
    <row r="32" spans="1:10" x14ac:dyDescent="0.2">
      <c r="A32" s="79"/>
      <c r="B32" s="192"/>
      <c r="C32" s="215"/>
      <c r="D32" s="80"/>
      <c r="E32" s="80"/>
      <c r="F32" s="80"/>
      <c r="G32" s="80"/>
      <c r="H32" s="80"/>
      <c r="I32" s="80"/>
      <c r="J32" s="80"/>
    </row>
    <row r="33" spans="1:10" x14ac:dyDescent="0.2">
      <c r="A33" s="79"/>
      <c r="B33" s="192"/>
      <c r="C33" s="215"/>
      <c r="D33" s="80"/>
      <c r="E33" s="80"/>
      <c r="F33" s="80"/>
      <c r="G33" s="80"/>
      <c r="H33" s="80"/>
      <c r="I33" s="80"/>
      <c r="J33" s="80"/>
    </row>
    <row r="34" spans="1:10" x14ac:dyDescent="0.2">
      <c r="A34" s="81" t="s">
        <v>308</v>
      </c>
      <c r="B34" s="197"/>
      <c r="C34" s="219"/>
      <c r="D34" s="97">
        <f>SUM(D27:D33)</f>
        <v>0</v>
      </c>
      <c r="E34" s="97">
        <f t="shared" ref="E34:J34" si="7">SUM(E27:E33)</f>
        <v>0</v>
      </c>
      <c r="F34" s="97">
        <f t="shared" si="7"/>
        <v>0</v>
      </c>
      <c r="G34" s="97">
        <f t="shared" si="7"/>
        <v>0</v>
      </c>
      <c r="H34" s="97">
        <f t="shared" si="7"/>
        <v>0</v>
      </c>
      <c r="I34" s="97">
        <f t="shared" si="7"/>
        <v>0</v>
      </c>
      <c r="J34" s="97">
        <f t="shared" si="7"/>
        <v>0</v>
      </c>
    </row>
    <row r="35" spans="1:10" x14ac:dyDescent="0.2">
      <c r="A35" s="81"/>
      <c r="B35" s="197"/>
      <c r="C35" s="219"/>
      <c r="D35" s="97"/>
      <c r="E35" s="97"/>
      <c r="F35" s="97"/>
      <c r="G35" s="97"/>
      <c r="H35" s="97"/>
      <c r="I35" s="97"/>
      <c r="J35" s="97"/>
    </row>
    <row r="36" spans="1:10" x14ac:dyDescent="0.2">
      <c r="A36" s="81" t="s">
        <v>299</v>
      </c>
      <c r="B36" s="192"/>
      <c r="C36" s="215"/>
      <c r="D36" s="80"/>
      <c r="E36" s="80"/>
      <c r="F36" s="80"/>
      <c r="G36" s="80"/>
      <c r="H36" s="80"/>
      <c r="I36" s="80"/>
      <c r="J36" s="80"/>
    </row>
    <row r="37" spans="1:10" x14ac:dyDescent="0.2">
      <c r="A37" s="79" t="s">
        <v>310</v>
      </c>
      <c r="B37" s="192">
        <v>1</v>
      </c>
      <c r="C37" s="215"/>
      <c r="D37" s="80">
        <f>$B$37*$C$37*D17*12</f>
        <v>0</v>
      </c>
      <c r="E37" s="80">
        <f t="shared" ref="E37:J37" si="8">$B$37*$C$37*E17*12</f>
        <v>0</v>
      </c>
      <c r="F37" s="80">
        <f t="shared" si="8"/>
        <v>0</v>
      </c>
      <c r="G37" s="80">
        <f t="shared" si="8"/>
        <v>0</v>
      </c>
      <c r="H37" s="80">
        <f t="shared" si="8"/>
        <v>0</v>
      </c>
      <c r="I37" s="80">
        <f t="shared" si="8"/>
        <v>0</v>
      </c>
      <c r="J37" s="80">
        <f t="shared" si="8"/>
        <v>0</v>
      </c>
    </row>
    <row r="38" spans="1:10" x14ac:dyDescent="0.2">
      <c r="A38" s="79"/>
      <c r="B38" s="192"/>
      <c r="C38" s="215"/>
      <c r="D38" s="80"/>
      <c r="E38" s="80"/>
      <c r="F38" s="80"/>
      <c r="G38" s="80"/>
      <c r="H38" s="80"/>
      <c r="I38" s="80"/>
      <c r="J38" s="80"/>
    </row>
    <row r="39" spans="1:10" x14ac:dyDescent="0.2">
      <c r="A39" s="79"/>
      <c r="B39" s="192"/>
      <c r="C39" s="215"/>
      <c r="D39" s="80"/>
      <c r="E39" s="80"/>
      <c r="F39" s="80"/>
      <c r="G39" s="80"/>
      <c r="H39" s="80"/>
      <c r="I39" s="80"/>
      <c r="J39" s="80"/>
    </row>
    <row r="40" spans="1:10" x14ac:dyDescent="0.2">
      <c r="A40" s="79"/>
      <c r="B40" s="192"/>
      <c r="C40" s="215"/>
      <c r="D40" s="80"/>
      <c r="E40" s="80"/>
      <c r="F40" s="80"/>
      <c r="G40" s="80"/>
      <c r="H40" s="80"/>
      <c r="I40" s="80"/>
      <c r="J40" s="80"/>
    </row>
    <row r="41" spans="1:10" x14ac:dyDescent="0.2">
      <c r="A41" s="79"/>
      <c r="B41" s="192"/>
      <c r="C41" s="215"/>
      <c r="D41" s="80"/>
      <c r="E41" s="80"/>
      <c r="F41" s="80"/>
      <c r="G41" s="80"/>
      <c r="H41" s="80"/>
      <c r="I41" s="80"/>
      <c r="J41" s="80"/>
    </row>
    <row r="42" spans="1:10" x14ac:dyDescent="0.2">
      <c r="A42" s="79"/>
      <c r="B42" s="192"/>
      <c r="C42" s="215"/>
      <c r="D42" s="80"/>
      <c r="E42" s="80"/>
      <c r="F42" s="80"/>
      <c r="G42" s="80"/>
      <c r="H42" s="80"/>
      <c r="I42" s="80"/>
      <c r="J42" s="80"/>
    </row>
    <row r="43" spans="1:10" x14ac:dyDescent="0.2">
      <c r="A43" s="81" t="s">
        <v>312</v>
      </c>
      <c r="B43" s="81"/>
      <c r="C43" s="97"/>
      <c r="D43" s="97">
        <f>SUM(D37:D42)</f>
        <v>0</v>
      </c>
      <c r="E43" s="97">
        <f t="shared" ref="E43:J43" si="9">SUM(E37:E42)</f>
        <v>0</v>
      </c>
      <c r="F43" s="97">
        <f t="shared" si="9"/>
        <v>0</v>
      </c>
      <c r="G43" s="97">
        <f t="shared" si="9"/>
        <v>0</v>
      </c>
      <c r="H43" s="97">
        <f t="shared" si="9"/>
        <v>0</v>
      </c>
      <c r="I43" s="97">
        <f t="shared" si="9"/>
        <v>0</v>
      </c>
      <c r="J43" s="97">
        <f t="shared" si="9"/>
        <v>0</v>
      </c>
    </row>
    <row r="44" spans="1:10" x14ac:dyDescent="0.2">
      <c r="A44" s="81"/>
      <c r="B44" s="81"/>
      <c r="C44" s="97"/>
      <c r="D44" s="97"/>
      <c r="E44" s="97"/>
      <c r="F44" s="97"/>
      <c r="G44" s="97"/>
      <c r="H44" s="97"/>
      <c r="I44" s="97"/>
      <c r="J44" s="97"/>
    </row>
    <row r="45" spans="1:10" x14ac:dyDescent="0.2">
      <c r="A45" s="81" t="s">
        <v>127</v>
      </c>
      <c r="B45" s="81"/>
      <c r="C45" s="97"/>
      <c r="D45" s="97">
        <f>D34+D43</f>
        <v>0</v>
      </c>
      <c r="E45" s="97">
        <f t="shared" ref="E45:J45" si="10">E34+E43</f>
        <v>0</v>
      </c>
      <c r="F45" s="97">
        <f t="shared" si="10"/>
        <v>0</v>
      </c>
      <c r="G45" s="97">
        <f t="shared" si="10"/>
        <v>0</v>
      </c>
      <c r="H45" s="97">
        <f t="shared" si="10"/>
        <v>0</v>
      </c>
      <c r="I45" s="97">
        <f t="shared" si="10"/>
        <v>0</v>
      </c>
      <c r="J45" s="97">
        <f t="shared" si="10"/>
        <v>0</v>
      </c>
    </row>
    <row r="46" spans="1:10" x14ac:dyDescent="0.2">
      <c r="A46" s="79"/>
      <c r="B46" s="79"/>
      <c r="C46" s="80"/>
      <c r="D46" s="80"/>
      <c r="E46" s="80"/>
      <c r="F46" s="80"/>
      <c r="G46" s="80"/>
      <c r="H46" s="80"/>
      <c r="I46" s="80"/>
      <c r="J46" s="80"/>
    </row>
    <row r="47" spans="1:10" x14ac:dyDescent="0.2">
      <c r="A47" s="81" t="s">
        <v>126</v>
      </c>
      <c r="B47" s="81"/>
      <c r="C47" s="97"/>
      <c r="D47" s="97">
        <f t="shared" ref="D47:J47" si="11">D23-D45</f>
        <v>0</v>
      </c>
      <c r="E47" s="97">
        <f t="shared" si="11"/>
        <v>0</v>
      </c>
      <c r="F47" s="97">
        <f t="shared" si="11"/>
        <v>0</v>
      </c>
      <c r="G47" s="97">
        <f t="shared" si="11"/>
        <v>0</v>
      </c>
      <c r="H47" s="97">
        <f t="shared" si="11"/>
        <v>0</v>
      </c>
      <c r="I47" s="97">
        <f t="shared" si="11"/>
        <v>0</v>
      </c>
      <c r="J47" s="97">
        <f t="shared" si="11"/>
        <v>0</v>
      </c>
    </row>
    <row r="48" spans="1:10" x14ac:dyDescent="0.2">
      <c r="A48" s="78"/>
      <c r="B48" s="78"/>
      <c r="C48" s="78"/>
      <c r="D48" s="78"/>
      <c r="E48" s="78"/>
      <c r="F48" s="78"/>
      <c r="G48" s="78"/>
      <c r="H48" s="78"/>
      <c r="I48" s="78"/>
      <c r="J48" s="78"/>
    </row>
    <row r="49" spans="1:10" x14ac:dyDescent="0.2">
      <c r="A49" s="78"/>
    </row>
    <row r="51" spans="1:10" x14ac:dyDescent="0.2">
      <c r="A51" s="705" t="s">
        <v>406</v>
      </c>
      <c r="B51" s="705"/>
      <c r="C51" s="705"/>
      <c r="D51" s="705"/>
      <c r="E51" s="705"/>
      <c r="F51" s="705"/>
      <c r="G51" s="705"/>
      <c r="H51" s="705"/>
      <c r="I51" s="705"/>
      <c r="J51" s="705"/>
    </row>
    <row r="53" spans="1:10" x14ac:dyDescent="0.2">
      <c r="A53" t="s">
        <v>486</v>
      </c>
    </row>
    <row r="54" spans="1:10" x14ac:dyDescent="0.2">
      <c r="A54">
        <v>1</v>
      </c>
      <c r="B54" t="s">
        <v>496</v>
      </c>
    </row>
    <row r="55" spans="1:10" x14ac:dyDescent="0.2">
      <c r="A55">
        <v>2</v>
      </c>
      <c r="B55" t="s">
        <v>497</v>
      </c>
    </row>
    <row r="56" spans="1:10" x14ac:dyDescent="0.2">
      <c r="A56">
        <v>3</v>
      </c>
      <c r="B56" s="78" t="s">
        <v>542</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3:P68"/>
  <sheetViews>
    <sheetView view="pageBreakPreview" topLeftCell="A44" zoomScale="55" zoomScaleSheetLayoutView="55" workbookViewId="0" xr3:uid="{D624DF06-3800-545C-AC8D-BADC89115800}">
      <selection activeCell="O54" sqref="O54"/>
    </sheetView>
  </sheetViews>
  <sheetFormatPr defaultRowHeight="15" x14ac:dyDescent="0.2"/>
  <cols>
    <col min="1" max="2" width="29.45703125" customWidth="1"/>
    <col min="3" max="3" width="12.10546875" customWidth="1"/>
    <col min="4" max="4" width="10.35546875" bestFit="1" customWidth="1"/>
    <col min="5" max="5" width="13.44921875" customWidth="1"/>
    <col min="6" max="6" width="13.98828125" customWidth="1"/>
    <col min="7" max="7" width="13.44921875" customWidth="1"/>
    <col min="8" max="9" width="13.98828125" customWidth="1"/>
    <col min="10" max="11" width="14.390625" customWidth="1"/>
    <col min="12" max="12" width="12.10546875" customWidth="1"/>
    <col min="13" max="13" width="16.0078125" customWidth="1"/>
    <col min="14" max="14" width="23.26953125" customWidth="1"/>
    <col min="18" max="18" width="12.64453125" bestFit="1" customWidth="1"/>
  </cols>
  <sheetData>
    <row r="3" spans="1:13" ht="18" x14ac:dyDescent="0.2">
      <c r="A3" s="704" t="s">
        <v>534</v>
      </c>
      <c r="B3" s="704"/>
      <c r="C3" s="704"/>
      <c r="D3" s="704"/>
      <c r="E3" s="704"/>
      <c r="F3" s="704"/>
      <c r="G3" s="704"/>
      <c r="H3" s="704"/>
      <c r="I3" s="704"/>
      <c r="J3" s="704"/>
      <c r="K3" s="704"/>
      <c r="L3" s="704"/>
    </row>
    <row r="4" spans="1:13" ht="18" x14ac:dyDescent="0.2">
      <c r="A4" s="704" t="s">
        <v>535</v>
      </c>
      <c r="B4" s="704"/>
      <c r="C4" s="704"/>
      <c r="D4" s="704"/>
      <c r="E4" s="704"/>
      <c r="F4" s="704"/>
      <c r="G4" s="704"/>
      <c r="H4" s="704"/>
      <c r="I4" s="704"/>
      <c r="J4" s="704"/>
      <c r="K4" s="704"/>
      <c r="L4" s="704"/>
    </row>
    <row r="5" spans="1:13" x14ac:dyDescent="0.2">
      <c r="A5" s="78"/>
      <c r="B5" s="78"/>
      <c r="C5" s="78"/>
    </row>
    <row r="6" spans="1:13" x14ac:dyDescent="0.2">
      <c r="A6" s="78"/>
      <c r="B6" s="78"/>
      <c r="C6" s="78"/>
    </row>
    <row r="7" spans="1:13" ht="41.25" x14ac:dyDescent="0.2">
      <c r="A7" s="248" t="s">
        <v>140</v>
      </c>
      <c r="B7" s="249" t="s">
        <v>414</v>
      </c>
      <c r="C7" s="249" t="s">
        <v>422</v>
      </c>
      <c r="D7" s="249" t="s">
        <v>420</v>
      </c>
      <c r="E7" s="249" t="s">
        <v>421</v>
      </c>
      <c r="F7" s="249" t="s">
        <v>295</v>
      </c>
      <c r="G7" s="249" t="s">
        <v>423</v>
      </c>
      <c r="H7" s="249" t="s">
        <v>424</v>
      </c>
      <c r="I7" s="249" t="s">
        <v>425</v>
      </c>
      <c r="J7" s="251" t="s">
        <v>428</v>
      </c>
      <c r="K7" s="249" t="s">
        <v>426</v>
      </c>
      <c r="L7" s="251" t="s">
        <v>427</v>
      </c>
      <c r="M7" s="249" t="s">
        <v>430</v>
      </c>
    </row>
    <row r="8" spans="1:13" x14ac:dyDescent="0.2">
      <c r="A8" s="250">
        <v>1</v>
      </c>
      <c r="B8" s="245" t="s">
        <v>415</v>
      </c>
      <c r="C8" s="245"/>
      <c r="D8" s="245"/>
      <c r="E8" s="245">
        <v>6</v>
      </c>
      <c r="F8" s="253">
        <f>D8*E8*C8</f>
        <v>0</v>
      </c>
      <c r="G8" s="245">
        <v>4</v>
      </c>
      <c r="H8" s="253">
        <f>F8/G8</f>
        <v>0</v>
      </c>
      <c r="I8" s="245">
        <v>12</v>
      </c>
      <c r="J8" s="253">
        <f>H8*I8</f>
        <v>0</v>
      </c>
      <c r="K8" s="245">
        <v>3000</v>
      </c>
      <c r="L8" s="245">
        <v>1</v>
      </c>
      <c r="M8" s="253">
        <f t="shared" ref="M8:M17" si="0">D8*L8</f>
        <v>0</v>
      </c>
    </row>
    <row r="9" spans="1:13" x14ac:dyDescent="0.2">
      <c r="A9" s="250">
        <v>2</v>
      </c>
      <c r="B9" s="245" t="s">
        <v>416</v>
      </c>
      <c r="C9" s="245"/>
      <c r="D9" s="245"/>
      <c r="E9" s="245">
        <v>6</v>
      </c>
      <c r="F9" s="253">
        <f t="shared" ref="F9:F17" si="1">D9*E9*C9</f>
        <v>0</v>
      </c>
      <c r="G9" s="245">
        <v>2</v>
      </c>
      <c r="H9" s="253">
        <f>F9/G9</f>
        <v>0</v>
      </c>
      <c r="I9" s="245">
        <v>8</v>
      </c>
      <c r="J9" s="253">
        <f t="shared" ref="J9:J17" si="2">H9*I9</f>
        <v>0</v>
      </c>
      <c r="K9" s="245">
        <v>1800</v>
      </c>
      <c r="L9" s="245">
        <v>1</v>
      </c>
      <c r="M9" s="253">
        <f t="shared" si="0"/>
        <v>0</v>
      </c>
    </row>
    <row r="10" spans="1:13" x14ac:dyDescent="0.2">
      <c r="A10" s="250">
        <v>3</v>
      </c>
      <c r="B10" s="245" t="s">
        <v>417</v>
      </c>
      <c r="C10" s="245"/>
      <c r="D10" s="245"/>
      <c r="E10" s="245">
        <v>6</v>
      </c>
      <c r="F10" s="253">
        <f t="shared" si="1"/>
        <v>0</v>
      </c>
      <c r="G10" s="245">
        <v>2</v>
      </c>
      <c r="H10" s="253">
        <f>F10/G10</f>
        <v>0</v>
      </c>
      <c r="I10" s="245">
        <v>8</v>
      </c>
      <c r="J10" s="253">
        <f t="shared" si="2"/>
        <v>0</v>
      </c>
      <c r="K10" s="245">
        <v>1800</v>
      </c>
      <c r="L10" s="245">
        <v>1</v>
      </c>
      <c r="M10" s="253">
        <f t="shared" si="0"/>
        <v>0</v>
      </c>
    </row>
    <row r="11" spans="1:13" x14ac:dyDescent="0.2">
      <c r="A11" s="250">
        <v>4</v>
      </c>
      <c r="B11" s="245" t="s">
        <v>418</v>
      </c>
      <c r="C11" s="245"/>
      <c r="D11" s="245"/>
      <c r="E11" s="245">
        <v>6</v>
      </c>
      <c r="F11" s="253">
        <f t="shared" si="1"/>
        <v>0</v>
      </c>
      <c r="G11" s="245">
        <v>2</v>
      </c>
      <c r="H11" s="253">
        <f>F11/G11</f>
        <v>0</v>
      </c>
      <c r="I11" s="245">
        <v>4</v>
      </c>
      <c r="J11" s="253">
        <f t="shared" si="2"/>
        <v>0</v>
      </c>
      <c r="K11" s="245">
        <v>1200</v>
      </c>
      <c r="L11" s="245">
        <v>1</v>
      </c>
      <c r="M11" s="253">
        <f t="shared" si="0"/>
        <v>0</v>
      </c>
    </row>
    <row r="12" spans="1:13" x14ac:dyDescent="0.2">
      <c r="A12" s="250">
        <v>5</v>
      </c>
      <c r="B12" s="245" t="s">
        <v>419</v>
      </c>
      <c r="C12" s="245"/>
      <c r="D12" s="245"/>
      <c r="E12" s="245">
        <v>6</v>
      </c>
      <c r="F12" s="253">
        <f t="shared" si="1"/>
        <v>0</v>
      </c>
      <c r="G12" s="245">
        <v>2</v>
      </c>
      <c r="H12" s="253">
        <f>F12/G12</f>
        <v>0</v>
      </c>
      <c r="I12" s="245">
        <v>10</v>
      </c>
      <c r="J12" s="253">
        <f t="shared" si="2"/>
        <v>0</v>
      </c>
      <c r="K12" s="245">
        <v>3000</v>
      </c>
      <c r="L12" s="245">
        <v>1</v>
      </c>
      <c r="M12" s="253">
        <f t="shared" si="0"/>
        <v>0</v>
      </c>
    </row>
    <row r="13" spans="1:13" x14ac:dyDescent="0.2">
      <c r="A13" s="250">
        <v>6</v>
      </c>
      <c r="B13" s="10"/>
      <c r="C13" s="10"/>
      <c r="D13" s="10"/>
      <c r="E13" s="10"/>
      <c r="F13" s="253">
        <f t="shared" si="1"/>
        <v>0</v>
      </c>
      <c r="G13" s="10">
        <v>0</v>
      </c>
      <c r="H13" s="245"/>
      <c r="I13" s="10"/>
      <c r="J13" s="253">
        <f t="shared" si="2"/>
        <v>0</v>
      </c>
      <c r="K13" s="10"/>
      <c r="L13" s="253"/>
      <c r="M13" s="253">
        <f t="shared" si="0"/>
        <v>0</v>
      </c>
    </row>
    <row r="14" spans="1:13" x14ac:dyDescent="0.2">
      <c r="A14" s="250">
        <v>7</v>
      </c>
      <c r="B14" s="10"/>
      <c r="C14" s="10"/>
      <c r="D14" s="10"/>
      <c r="E14" s="10"/>
      <c r="F14" s="253">
        <f t="shared" si="1"/>
        <v>0</v>
      </c>
      <c r="G14" s="10">
        <v>0</v>
      </c>
      <c r="H14" s="245"/>
      <c r="I14" s="10"/>
      <c r="J14" s="253">
        <f t="shared" si="2"/>
        <v>0</v>
      </c>
      <c r="K14" s="10"/>
      <c r="L14" s="253"/>
      <c r="M14" s="253">
        <f t="shared" si="0"/>
        <v>0</v>
      </c>
    </row>
    <row r="15" spans="1:13" x14ac:dyDescent="0.2">
      <c r="A15" s="250">
        <v>8</v>
      </c>
      <c r="B15" s="10"/>
      <c r="C15" s="10"/>
      <c r="D15" s="10"/>
      <c r="E15" s="10"/>
      <c r="F15" s="253">
        <f t="shared" si="1"/>
        <v>0</v>
      </c>
      <c r="G15" s="10">
        <v>0</v>
      </c>
      <c r="H15" s="245"/>
      <c r="I15" s="10"/>
      <c r="J15" s="253">
        <f t="shared" si="2"/>
        <v>0</v>
      </c>
      <c r="K15" s="10"/>
      <c r="L15" s="253"/>
      <c r="M15" s="253">
        <f t="shared" si="0"/>
        <v>0</v>
      </c>
    </row>
    <row r="16" spans="1:13" x14ac:dyDescent="0.2">
      <c r="A16" s="250">
        <v>9</v>
      </c>
      <c r="B16" s="10"/>
      <c r="C16" s="10"/>
      <c r="D16" s="10"/>
      <c r="E16" s="10"/>
      <c r="F16" s="253">
        <f t="shared" si="1"/>
        <v>0</v>
      </c>
      <c r="G16" s="10">
        <v>0</v>
      </c>
      <c r="H16" s="245"/>
      <c r="I16" s="10"/>
      <c r="J16" s="253">
        <f t="shared" si="2"/>
        <v>0</v>
      </c>
      <c r="K16" s="10"/>
      <c r="L16" s="253"/>
      <c r="M16" s="253">
        <f t="shared" si="0"/>
        <v>0</v>
      </c>
    </row>
    <row r="17" spans="1:16" x14ac:dyDescent="0.2">
      <c r="A17" s="250">
        <v>10</v>
      </c>
      <c r="B17" s="10"/>
      <c r="C17" s="10"/>
      <c r="D17" s="10"/>
      <c r="E17" s="10"/>
      <c r="F17" s="253">
        <f t="shared" si="1"/>
        <v>0</v>
      </c>
      <c r="G17" s="10">
        <v>0</v>
      </c>
      <c r="H17" s="245"/>
      <c r="I17" s="10"/>
      <c r="J17" s="253">
        <f t="shared" si="2"/>
        <v>0</v>
      </c>
      <c r="K17" s="10"/>
      <c r="L17" s="253"/>
      <c r="M17" s="253">
        <f t="shared" si="0"/>
        <v>0</v>
      </c>
    </row>
    <row r="18" spans="1:16" x14ac:dyDescent="0.2">
      <c r="A18" s="15"/>
      <c r="B18" s="15"/>
      <c r="C18" s="254"/>
      <c r="D18" s="254"/>
      <c r="E18" s="254"/>
      <c r="F18" s="254"/>
      <c r="G18" s="254"/>
      <c r="H18" s="254"/>
      <c r="I18" s="254"/>
      <c r="J18" s="254"/>
      <c r="K18" s="254"/>
      <c r="L18" s="254"/>
      <c r="M18" s="252"/>
    </row>
    <row r="19" spans="1:16" x14ac:dyDescent="0.2">
      <c r="A19" s="15"/>
      <c r="B19" s="15"/>
      <c r="C19" s="254"/>
      <c r="D19" s="254"/>
      <c r="E19" s="254"/>
      <c r="F19" s="254"/>
      <c r="G19" s="254"/>
      <c r="H19" s="254"/>
      <c r="I19" s="254"/>
      <c r="J19" s="254"/>
      <c r="K19" s="254"/>
      <c r="L19" s="254"/>
      <c r="M19" s="252"/>
    </row>
    <row r="21" spans="1:16" ht="18" x14ac:dyDescent="0.2">
      <c r="A21" s="704" t="s">
        <v>536</v>
      </c>
      <c r="B21" s="704"/>
      <c r="C21" s="704"/>
      <c r="D21" s="704"/>
      <c r="E21" s="704"/>
      <c r="F21" s="704"/>
      <c r="G21" s="704"/>
      <c r="H21" s="704"/>
      <c r="I21" s="704"/>
      <c r="J21" s="704"/>
      <c r="K21" s="704"/>
    </row>
    <row r="23" spans="1:16" x14ac:dyDescent="0.2">
      <c r="A23" s="78"/>
      <c r="B23" s="78"/>
      <c r="C23" s="78"/>
      <c r="D23" s="78"/>
      <c r="E23" s="143">
        <v>1</v>
      </c>
      <c r="F23" s="146">
        <f>(E23*5%)+E23</f>
        <v>1.05</v>
      </c>
      <c r="G23" s="146">
        <f t="shared" ref="G23:K23" si="3">(F23*5%)+F23</f>
        <v>1.1025</v>
      </c>
      <c r="H23" s="146">
        <f t="shared" si="3"/>
        <v>1.1576250000000001</v>
      </c>
      <c r="I23" s="146">
        <f t="shared" si="3"/>
        <v>1.2155062500000002</v>
      </c>
      <c r="J23" s="146">
        <f t="shared" si="3"/>
        <v>1.2762815625000004</v>
      </c>
      <c r="K23" s="146">
        <f t="shared" si="3"/>
        <v>1.3400956406250004</v>
      </c>
    </row>
    <row r="24" spans="1:16" x14ac:dyDescent="0.2">
      <c r="A24" s="122" t="s">
        <v>0</v>
      </c>
      <c r="B24" s="122" t="s">
        <v>128</v>
      </c>
      <c r="C24" s="122" t="s">
        <v>141</v>
      </c>
      <c r="D24" s="122" t="s">
        <v>148</v>
      </c>
      <c r="E24" s="102" t="s">
        <v>2</v>
      </c>
      <c r="F24" s="102" t="s">
        <v>3</v>
      </c>
      <c r="G24" s="102" t="s">
        <v>4</v>
      </c>
      <c r="H24" s="102" t="s">
        <v>5</v>
      </c>
      <c r="I24" s="102" t="s">
        <v>6</v>
      </c>
      <c r="J24" s="102" t="s">
        <v>163</v>
      </c>
      <c r="K24" s="102" t="s">
        <v>162</v>
      </c>
    </row>
    <row r="25" spans="1:16" x14ac:dyDescent="0.2">
      <c r="A25" s="81"/>
      <c r="B25" s="81"/>
      <c r="C25" s="81"/>
      <c r="D25" s="81"/>
      <c r="E25" s="79"/>
      <c r="F25" s="79"/>
      <c r="G25" s="79"/>
      <c r="H25" s="79"/>
      <c r="I25" s="79"/>
      <c r="J25" s="79"/>
      <c r="K25" s="79"/>
    </row>
    <row r="26" spans="1:16" x14ac:dyDescent="0.2">
      <c r="A26" s="81" t="s">
        <v>124</v>
      </c>
      <c r="B26" s="81"/>
      <c r="C26" s="81"/>
      <c r="D26" s="81"/>
      <c r="E26" s="79"/>
      <c r="F26" s="79"/>
      <c r="G26" s="79"/>
      <c r="H26" s="79"/>
      <c r="I26" s="79"/>
      <c r="J26" s="79"/>
      <c r="K26" s="79"/>
      <c r="P26" s="78"/>
    </row>
    <row r="27" spans="1:16" x14ac:dyDescent="0.2">
      <c r="A27" s="158" t="s">
        <v>432</v>
      </c>
      <c r="B27" s="91"/>
      <c r="C27" s="255"/>
      <c r="D27" s="255"/>
      <c r="E27" s="80"/>
      <c r="F27" s="80"/>
      <c r="G27" s="80"/>
      <c r="H27" s="80"/>
      <c r="I27" s="80"/>
      <c r="J27" s="80"/>
      <c r="K27" s="80"/>
      <c r="P27" s="78"/>
    </row>
    <row r="28" spans="1:16" x14ac:dyDescent="0.2">
      <c r="A28" s="91" t="str">
        <f>B8</f>
        <v>Double Plough</v>
      </c>
      <c r="B28" s="91"/>
      <c r="C28" s="255">
        <f>H8</f>
        <v>0</v>
      </c>
      <c r="D28" s="255">
        <f>K8</f>
        <v>3000</v>
      </c>
      <c r="E28" s="80">
        <f>$C$28*$D$28*E23</f>
        <v>0</v>
      </c>
      <c r="F28" s="80">
        <f t="shared" ref="F28:K28" si="4">$C$28*$D$28*F23</f>
        <v>0</v>
      </c>
      <c r="G28" s="80">
        <f t="shared" si="4"/>
        <v>0</v>
      </c>
      <c r="H28" s="80">
        <f t="shared" si="4"/>
        <v>0</v>
      </c>
      <c r="I28" s="80">
        <f t="shared" si="4"/>
        <v>0</v>
      </c>
      <c r="J28" s="80">
        <f t="shared" si="4"/>
        <v>0</v>
      </c>
      <c r="K28" s="80">
        <f t="shared" si="4"/>
        <v>0</v>
      </c>
      <c r="P28" s="78"/>
    </row>
    <row r="29" spans="1:16" x14ac:dyDescent="0.2">
      <c r="A29" s="91" t="str">
        <f>B9</f>
        <v>Cultivator</v>
      </c>
      <c r="B29" s="91"/>
      <c r="C29" s="255">
        <f t="shared" ref="C29:C38" si="5">H9</f>
        <v>0</v>
      </c>
      <c r="D29" s="255">
        <f>K9</f>
        <v>1800</v>
      </c>
      <c r="E29" s="80">
        <f>$C$29*$D$29*E23</f>
        <v>0</v>
      </c>
      <c r="F29" s="80">
        <f t="shared" ref="F29:K29" si="6">$C$29*$D$29*F23</f>
        <v>0</v>
      </c>
      <c r="G29" s="80">
        <f t="shared" si="6"/>
        <v>0</v>
      </c>
      <c r="H29" s="80">
        <f t="shared" si="6"/>
        <v>0</v>
      </c>
      <c r="I29" s="80">
        <f t="shared" si="6"/>
        <v>0</v>
      </c>
      <c r="J29" s="80">
        <f t="shared" si="6"/>
        <v>0</v>
      </c>
      <c r="K29" s="80">
        <f t="shared" si="6"/>
        <v>0</v>
      </c>
      <c r="P29" s="78"/>
    </row>
    <row r="30" spans="1:16" x14ac:dyDescent="0.2">
      <c r="A30" s="91" t="str">
        <f>B10</f>
        <v>Rotavator</v>
      </c>
      <c r="B30" s="91"/>
      <c r="C30" s="255">
        <f t="shared" si="5"/>
        <v>0</v>
      </c>
      <c r="D30" s="255">
        <f>K10</f>
        <v>1800</v>
      </c>
      <c r="E30" s="80">
        <f>$C$30*$D$30*E23</f>
        <v>0</v>
      </c>
      <c r="F30" s="80">
        <f t="shared" ref="F30:K30" si="7">$C$30*$D$30*F23</f>
        <v>0</v>
      </c>
      <c r="G30" s="80">
        <f t="shared" si="7"/>
        <v>0</v>
      </c>
      <c r="H30" s="80">
        <f t="shared" si="7"/>
        <v>0</v>
      </c>
      <c r="I30" s="80">
        <f t="shared" si="7"/>
        <v>0</v>
      </c>
      <c r="J30" s="80">
        <f t="shared" si="7"/>
        <v>0</v>
      </c>
      <c r="K30" s="80">
        <f t="shared" si="7"/>
        <v>0</v>
      </c>
      <c r="P30" s="78"/>
    </row>
    <row r="31" spans="1:16" x14ac:dyDescent="0.2">
      <c r="A31" s="91" t="str">
        <f>B11</f>
        <v>BBF Seed Sowing Machine</v>
      </c>
      <c r="B31" s="91"/>
      <c r="C31" s="255">
        <f t="shared" si="5"/>
        <v>0</v>
      </c>
      <c r="D31" s="255">
        <f>K11</f>
        <v>1200</v>
      </c>
      <c r="E31" s="80">
        <f>$C$31*$D$31*E23</f>
        <v>0</v>
      </c>
      <c r="F31" s="80">
        <f t="shared" ref="F31:K31" si="8">$C$31*$D$31*F23</f>
        <v>0</v>
      </c>
      <c r="G31" s="80">
        <f t="shared" si="8"/>
        <v>0</v>
      </c>
      <c r="H31" s="80">
        <f t="shared" si="8"/>
        <v>0</v>
      </c>
      <c r="I31" s="80">
        <f t="shared" si="8"/>
        <v>0</v>
      </c>
      <c r="J31" s="80">
        <f t="shared" si="8"/>
        <v>0</v>
      </c>
      <c r="K31" s="80">
        <f t="shared" si="8"/>
        <v>0</v>
      </c>
      <c r="P31" s="78"/>
    </row>
    <row r="32" spans="1:16" x14ac:dyDescent="0.2">
      <c r="A32" s="91" t="str">
        <f>B12</f>
        <v>Mobile Threshing</v>
      </c>
      <c r="B32" s="91"/>
      <c r="C32" s="255">
        <f t="shared" si="5"/>
        <v>0</v>
      </c>
      <c r="D32" s="255">
        <f>K12</f>
        <v>3000</v>
      </c>
      <c r="E32" s="80">
        <f>$C$32*$D$32*E23</f>
        <v>0</v>
      </c>
      <c r="F32" s="80">
        <f t="shared" ref="F32:K32" si="9">$C$32*$D$32*F23</f>
        <v>0</v>
      </c>
      <c r="G32" s="80">
        <f t="shared" si="9"/>
        <v>0</v>
      </c>
      <c r="H32" s="80">
        <f t="shared" si="9"/>
        <v>0</v>
      </c>
      <c r="I32" s="80">
        <f t="shared" si="9"/>
        <v>0</v>
      </c>
      <c r="J32" s="80">
        <f t="shared" si="9"/>
        <v>0</v>
      </c>
      <c r="K32" s="80">
        <f t="shared" si="9"/>
        <v>0</v>
      </c>
      <c r="P32" s="78"/>
    </row>
    <row r="33" spans="1:16" x14ac:dyDescent="0.2">
      <c r="A33" s="91"/>
      <c r="B33" s="91"/>
      <c r="C33" s="255">
        <f t="shared" si="5"/>
        <v>0</v>
      </c>
      <c r="D33" s="255">
        <f t="shared" ref="D33:D38" si="10">K13</f>
        <v>0</v>
      </c>
      <c r="E33" s="80">
        <f>$C$33*$D$33*E23</f>
        <v>0</v>
      </c>
      <c r="F33" s="80">
        <f t="shared" ref="F33:K33" si="11">$C$33*$D$33*F23</f>
        <v>0</v>
      </c>
      <c r="G33" s="80">
        <f t="shared" si="11"/>
        <v>0</v>
      </c>
      <c r="H33" s="80">
        <f t="shared" si="11"/>
        <v>0</v>
      </c>
      <c r="I33" s="80">
        <f t="shared" si="11"/>
        <v>0</v>
      </c>
      <c r="J33" s="80">
        <f t="shared" si="11"/>
        <v>0</v>
      </c>
      <c r="K33" s="80">
        <f t="shared" si="11"/>
        <v>0</v>
      </c>
      <c r="P33" s="78"/>
    </row>
    <row r="34" spans="1:16" x14ac:dyDescent="0.2">
      <c r="A34" s="91"/>
      <c r="B34" s="91"/>
      <c r="C34" s="255">
        <f t="shared" si="5"/>
        <v>0</v>
      </c>
      <c r="D34" s="255">
        <f t="shared" si="10"/>
        <v>0</v>
      </c>
      <c r="E34" s="80">
        <f>$C$34*$D$34*E23</f>
        <v>0</v>
      </c>
      <c r="F34" s="80">
        <f t="shared" ref="F34:K34" si="12">$C$34*$D$34*F23</f>
        <v>0</v>
      </c>
      <c r="G34" s="80">
        <f t="shared" si="12"/>
        <v>0</v>
      </c>
      <c r="H34" s="80">
        <f t="shared" si="12"/>
        <v>0</v>
      </c>
      <c r="I34" s="80">
        <f t="shared" si="12"/>
        <v>0</v>
      </c>
      <c r="J34" s="80">
        <f t="shared" si="12"/>
        <v>0</v>
      </c>
      <c r="K34" s="80">
        <f t="shared" si="12"/>
        <v>0</v>
      </c>
      <c r="P34" s="78"/>
    </row>
    <row r="35" spans="1:16" x14ac:dyDescent="0.2">
      <c r="A35" s="91"/>
      <c r="B35" s="91"/>
      <c r="C35" s="255">
        <f t="shared" si="5"/>
        <v>0</v>
      </c>
      <c r="D35" s="255">
        <f t="shared" si="10"/>
        <v>0</v>
      </c>
      <c r="E35" s="80">
        <f>$C$35*$D$35*E23</f>
        <v>0</v>
      </c>
      <c r="F35" s="80">
        <f t="shared" ref="F35:K35" si="13">$C$35*$D$35*F23</f>
        <v>0</v>
      </c>
      <c r="G35" s="80">
        <f t="shared" si="13"/>
        <v>0</v>
      </c>
      <c r="H35" s="80">
        <f t="shared" si="13"/>
        <v>0</v>
      </c>
      <c r="I35" s="80">
        <f t="shared" si="13"/>
        <v>0</v>
      </c>
      <c r="J35" s="80">
        <f t="shared" si="13"/>
        <v>0</v>
      </c>
      <c r="K35" s="80">
        <f t="shared" si="13"/>
        <v>0</v>
      </c>
      <c r="P35" s="78"/>
    </row>
    <row r="36" spans="1:16" x14ac:dyDescent="0.2">
      <c r="A36" s="91"/>
      <c r="B36" s="91"/>
      <c r="C36" s="255">
        <f t="shared" si="5"/>
        <v>0</v>
      </c>
      <c r="D36" s="255">
        <f t="shared" si="10"/>
        <v>0</v>
      </c>
      <c r="E36" s="80">
        <f>$C$36*$D$36*E23</f>
        <v>0</v>
      </c>
      <c r="F36" s="80">
        <f t="shared" ref="F36:K36" si="14">$C$36*$D$36*F23</f>
        <v>0</v>
      </c>
      <c r="G36" s="80">
        <f t="shared" si="14"/>
        <v>0</v>
      </c>
      <c r="H36" s="80">
        <f t="shared" si="14"/>
        <v>0</v>
      </c>
      <c r="I36" s="80">
        <f t="shared" si="14"/>
        <v>0</v>
      </c>
      <c r="J36" s="80">
        <f t="shared" si="14"/>
        <v>0</v>
      </c>
      <c r="K36" s="80">
        <f t="shared" si="14"/>
        <v>0</v>
      </c>
      <c r="P36" s="78"/>
    </row>
    <row r="37" spans="1:16" x14ac:dyDescent="0.2">
      <c r="A37" s="91"/>
      <c r="B37" s="91"/>
      <c r="C37" s="255">
        <f t="shared" si="5"/>
        <v>0</v>
      </c>
      <c r="D37" s="255">
        <f t="shared" si="10"/>
        <v>0</v>
      </c>
      <c r="E37" s="80">
        <f>$C$37*$D$37*E23</f>
        <v>0</v>
      </c>
      <c r="F37" s="80">
        <f t="shared" ref="F37:K37" si="15">$C$37*$D$37*F23</f>
        <v>0</v>
      </c>
      <c r="G37" s="80">
        <f t="shared" si="15"/>
        <v>0</v>
      </c>
      <c r="H37" s="80">
        <f t="shared" si="15"/>
        <v>0</v>
      </c>
      <c r="I37" s="80">
        <f t="shared" si="15"/>
        <v>0</v>
      </c>
      <c r="J37" s="80">
        <f t="shared" si="15"/>
        <v>0</v>
      </c>
      <c r="K37" s="80">
        <f t="shared" si="15"/>
        <v>0</v>
      </c>
      <c r="P37" s="78"/>
    </row>
    <row r="38" spans="1:16" x14ac:dyDescent="0.2">
      <c r="A38" s="81"/>
      <c r="B38" s="81"/>
      <c r="C38" s="255">
        <f t="shared" si="5"/>
        <v>0</v>
      </c>
      <c r="D38" s="255">
        <f t="shared" si="10"/>
        <v>0</v>
      </c>
      <c r="E38" s="80">
        <f>$C$38*$D$38*E23</f>
        <v>0</v>
      </c>
      <c r="F38" s="80">
        <f t="shared" ref="F38:K38" si="16">$C$38*$D$38*F23</f>
        <v>0</v>
      </c>
      <c r="G38" s="80">
        <f t="shared" si="16"/>
        <v>0</v>
      </c>
      <c r="H38" s="80">
        <f t="shared" si="16"/>
        <v>0</v>
      </c>
      <c r="I38" s="80">
        <f t="shared" si="16"/>
        <v>0</v>
      </c>
      <c r="J38" s="80">
        <f t="shared" si="16"/>
        <v>0</v>
      </c>
      <c r="K38" s="80">
        <f t="shared" si="16"/>
        <v>0</v>
      </c>
      <c r="P38" s="78"/>
    </row>
    <row r="39" spans="1:16" x14ac:dyDescent="0.2">
      <c r="A39" s="81" t="s">
        <v>138</v>
      </c>
      <c r="B39" s="81"/>
      <c r="C39" s="85"/>
      <c r="D39" s="85"/>
      <c r="E39" s="80">
        <f>SUM(E28:E38)</f>
        <v>0</v>
      </c>
      <c r="F39" s="80">
        <f t="shared" ref="F39:K39" si="17">SUM(F28:F38)</f>
        <v>0</v>
      </c>
      <c r="G39" s="80">
        <f t="shared" si="17"/>
        <v>0</v>
      </c>
      <c r="H39" s="80">
        <f t="shared" si="17"/>
        <v>0</v>
      </c>
      <c r="I39" s="80">
        <f t="shared" si="17"/>
        <v>0</v>
      </c>
      <c r="J39" s="80">
        <f t="shared" si="17"/>
        <v>0</v>
      </c>
      <c r="K39" s="80">
        <f t="shared" si="17"/>
        <v>0</v>
      </c>
      <c r="P39" s="78"/>
    </row>
    <row r="40" spans="1:16" x14ac:dyDescent="0.2">
      <c r="A40" s="79"/>
      <c r="B40" s="79"/>
      <c r="C40" s="83"/>
      <c r="D40" s="83"/>
      <c r="E40" s="80"/>
      <c r="F40" s="80"/>
      <c r="G40" s="80"/>
      <c r="H40" s="80"/>
      <c r="I40" s="80"/>
      <c r="J40" s="80"/>
      <c r="K40" s="80"/>
      <c r="P40" s="78"/>
    </row>
    <row r="41" spans="1:16" x14ac:dyDescent="0.2">
      <c r="A41" s="81" t="s">
        <v>137</v>
      </c>
      <c r="B41" s="81"/>
      <c r="C41" s="85"/>
      <c r="D41" s="85"/>
      <c r="E41" s="80"/>
      <c r="F41" s="80"/>
      <c r="G41" s="80"/>
      <c r="H41" s="80"/>
      <c r="I41" s="80"/>
      <c r="J41" s="80"/>
      <c r="K41" s="80"/>
      <c r="P41" s="78"/>
    </row>
    <row r="42" spans="1:16" x14ac:dyDescent="0.2">
      <c r="A42" s="81" t="s">
        <v>296</v>
      </c>
      <c r="B42" s="81"/>
      <c r="C42" s="85"/>
      <c r="D42" s="85"/>
      <c r="E42" s="80"/>
      <c r="F42" s="80"/>
      <c r="G42" s="80"/>
      <c r="H42" s="80"/>
      <c r="I42" s="80"/>
      <c r="J42" s="80"/>
      <c r="K42" s="80"/>
    </row>
    <row r="43" spans="1:16" x14ac:dyDescent="0.2">
      <c r="A43" s="79" t="s">
        <v>297</v>
      </c>
      <c r="B43" s="79" t="s">
        <v>429</v>
      </c>
      <c r="C43" s="83">
        <f>SUM(J8:J17)</f>
        <v>0</v>
      </c>
      <c r="D43" s="192">
        <v>100</v>
      </c>
      <c r="E43" s="80">
        <f>$C$43*$D$43*E23</f>
        <v>0</v>
      </c>
      <c r="F43" s="80">
        <f t="shared" ref="F43:K43" si="18">$C$43*$D$43*F23</f>
        <v>0</v>
      </c>
      <c r="G43" s="80">
        <f t="shared" si="18"/>
        <v>0</v>
      </c>
      <c r="H43" s="80">
        <f t="shared" si="18"/>
        <v>0</v>
      </c>
      <c r="I43" s="80">
        <f t="shared" si="18"/>
        <v>0</v>
      </c>
      <c r="J43" s="80">
        <f t="shared" si="18"/>
        <v>0</v>
      </c>
      <c r="K43" s="80">
        <f t="shared" si="18"/>
        <v>0</v>
      </c>
    </row>
    <row r="44" spans="1:16" x14ac:dyDescent="0.2">
      <c r="A44" s="79" t="s">
        <v>298</v>
      </c>
      <c r="B44" s="79" t="s">
        <v>431</v>
      </c>
      <c r="C44" s="83">
        <f>SUM(M8:M17)</f>
        <v>0</v>
      </c>
      <c r="D44" s="192">
        <v>300</v>
      </c>
      <c r="E44" s="80">
        <f>$C$44*$D$44*E23</f>
        <v>0</v>
      </c>
      <c r="F44" s="80">
        <f t="shared" ref="F44:K44" si="19">$C$44*$D$44*F23</f>
        <v>0</v>
      </c>
      <c r="G44" s="80">
        <f t="shared" si="19"/>
        <v>0</v>
      </c>
      <c r="H44" s="80">
        <f t="shared" si="19"/>
        <v>0</v>
      </c>
      <c r="I44" s="80">
        <f t="shared" si="19"/>
        <v>0</v>
      </c>
      <c r="J44" s="80">
        <f t="shared" si="19"/>
        <v>0</v>
      </c>
      <c r="K44" s="80">
        <f t="shared" si="19"/>
        <v>0</v>
      </c>
    </row>
    <row r="45" spans="1:16" x14ac:dyDescent="0.2">
      <c r="A45" s="79"/>
      <c r="B45" s="79"/>
      <c r="C45" s="192"/>
      <c r="D45" s="192"/>
      <c r="E45" s="80"/>
      <c r="F45" s="80"/>
      <c r="G45" s="80"/>
      <c r="H45" s="80"/>
      <c r="I45" s="80"/>
      <c r="J45" s="80"/>
      <c r="K45" s="80"/>
    </row>
    <row r="46" spans="1:16" x14ac:dyDescent="0.2">
      <c r="A46" s="79"/>
      <c r="B46" s="79"/>
      <c r="C46" s="192"/>
      <c r="D46" s="192"/>
      <c r="E46" s="80"/>
      <c r="F46" s="80"/>
      <c r="G46" s="80"/>
      <c r="H46" s="80"/>
      <c r="I46" s="80"/>
      <c r="J46" s="80"/>
      <c r="K46" s="80"/>
    </row>
    <row r="47" spans="1:16" x14ac:dyDescent="0.2">
      <c r="A47" s="79"/>
      <c r="B47" s="79"/>
      <c r="C47" s="192"/>
      <c r="D47" s="192"/>
      <c r="E47" s="80"/>
      <c r="F47" s="80"/>
      <c r="G47" s="80"/>
      <c r="H47" s="80"/>
      <c r="I47" s="80"/>
      <c r="J47" s="80"/>
      <c r="K47" s="80"/>
    </row>
    <row r="48" spans="1:16" x14ac:dyDescent="0.2">
      <c r="A48" s="79"/>
      <c r="B48" s="79"/>
      <c r="C48" s="192"/>
      <c r="D48" s="192"/>
      <c r="E48" s="80"/>
      <c r="F48" s="80"/>
      <c r="G48" s="80"/>
      <c r="H48" s="80"/>
      <c r="I48" s="80"/>
      <c r="J48" s="80"/>
      <c r="K48" s="80"/>
    </row>
    <row r="49" spans="1:12" x14ac:dyDescent="0.2">
      <c r="A49" s="81" t="s">
        <v>308</v>
      </c>
      <c r="B49" s="81"/>
      <c r="C49" s="197"/>
      <c r="D49" s="197"/>
      <c r="E49" s="97">
        <f>SUM(E43:E48)</f>
        <v>0</v>
      </c>
      <c r="F49" s="97">
        <f t="shared" ref="F49:K49" si="20">SUM(F43:F48)</f>
        <v>0</v>
      </c>
      <c r="G49" s="97">
        <f t="shared" si="20"/>
        <v>0</v>
      </c>
      <c r="H49" s="97">
        <f t="shared" si="20"/>
        <v>0</v>
      </c>
      <c r="I49" s="97">
        <f t="shared" si="20"/>
        <v>0</v>
      </c>
      <c r="J49" s="97">
        <f t="shared" si="20"/>
        <v>0</v>
      </c>
      <c r="K49" s="97">
        <f t="shared" si="20"/>
        <v>0</v>
      </c>
    </row>
    <row r="50" spans="1:12" x14ac:dyDescent="0.2">
      <c r="A50" s="81"/>
      <c r="B50" s="81"/>
      <c r="C50" s="197"/>
      <c r="D50" s="197"/>
      <c r="E50" s="97"/>
      <c r="F50" s="97"/>
      <c r="G50" s="97"/>
      <c r="H50" s="97"/>
      <c r="I50" s="97"/>
      <c r="J50" s="97"/>
      <c r="K50" s="97"/>
    </row>
    <row r="51" spans="1:12" x14ac:dyDescent="0.2">
      <c r="A51" s="158" t="s">
        <v>299</v>
      </c>
      <c r="B51" s="158"/>
      <c r="C51" s="217"/>
      <c r="D51" s="217"/>
      <c r="E51" s="80"/>
      <c r="F51" s="80"/>
      <c r="G51" s="80"/>
      <c r="H51" s="80"/>
      <c r="I51" s="80"/>
      <c r="J51" s="80"/>
      <c r="K51" s="80"/>
    </row>
    <row r="52" spans="1:12" x14ac:dyDescent="0.2">
      <c r="A52" s="91" t="s">
        <v>300</v>
      </c>
      <c r="B52" s="79" t="s">
        <v>378</v>
      </c>
      <c r="C52" s="217">
        <v>1</v>
      </c>
      <c r="D52" s="218"/>
      <c r="E52" s="80">
        <f t="shared" ref="E52:K52" si="21">$C$52*$D$52*12*E23</f>
        <v>0</v>
      </c>
      <c r="F52" s="80">
        <f t="shared" si="21"/>
        <v>0</v>
      </c>
      <c r="G52" s="80">
        <f t="shared" si="21"/>
        <v>0</v>
      </c>
      <c r="H52" s="80">
        <f t="shared" si="21"/>
        <v>0</v>
      </c>
      <c r="I52" s="80">
        <f t="shared" si="21"/>
        <v>0</v>
      </c>
      <c r="J52" s="80">
        <f t="shared" si="21"/>
        <v>0</v>
      </c>
      <c r="K52" s="80">
        <f t="shared" si="21"/>
        <v>0</v>
      </c>
    </row>
    <row r="53" spans="1:12" x14ac:dyDescent="0.2">
      <c r="A53" s="91"/>
      <c r="B53" s="91"/>
      <c r="C53" s="217"/>
      <c r="D53" s="218"/>
      <c r="E53" s="80"/>
      <c r="F53" s="80"/>
      <c r="G53" s="80"/>
      <c r="H53" s="80"/>
      <c r="I53" s="80"/>
      <c r="J53" s="80"/>
      <c r="K53" s="80"/>
    </row>
    <row r="54" spans="1:12" x14ac:dyDescent="0.2">
      <c r="A54" s="91"/>
      <c r="B54" s="91"/>
      <c r="C54" s="217"/>
      <c r="D54" s="218"/>
      <c r="E54" s="80"/>
      <c r="F54" s="80"/>
      <c r="G54" s="80"/>
      <c r="H54" s="80"/>
      <c r="I54" s="80"/>
      <c r="J54" s="80"/>
      <c r="K54" s="80"/>
    </row>
    <row r="55" spans="1:12" x14ac:dyDescent="0.2">
      <c r="A55" s="91"/>
      <c r="B55" s="91"/>
      <c r="C55" s="217"/>
      <c r="D55" s="218"/>
      <c r="E55" s="80"/>
      <c r="F55" s="80"/>
      <c r="G55" s="80"/>
      <c r="H55" s="80"/>
      <c r="I55" s="80"/>
      <c r="J55" s="80"/>
      <c r="K55" s="80"/>
    </row>
    <row r="56" spans="1:12" x14ac:dyDescent="0.2">
      <c r="A56" s="81" t="s">
        <v>312</v>
      </c>
      <c r="B56" s="81"/>
      <c r="C56" s="81"/>
      <c r="D56" s="81"/>
      <c r="E56" s="97">
        <f>SUM(E52:E55)</f>
        <v>0</v>
      </c>
      <c r="F56" s="97">
        <f t="shared" ref="F56:K56" si="22">SUM(F52:F55)</f>
        <v>0</v>
      </c>
      <c r="G56" s="97">
        <f t="shared" si="22"/>
        <v>0</v>
      </c>
      <c r="H56" s="97">
        <f t="shared" si="22"/>
        <v>0</v>
      </c>
      <c r="I56" s="97">
        <f t="shared" si="22"/>
        <v>0</v>
      </c>
      <c r="J56" s="97">
        <f t="shared" si="22"/>
        <v>0</v>
      </c>
      <c r="K56" s="97">
        <f t="shared" si="22"/>
        <v>0</v>
      </c>
    </row>
    <row r="57" spans="1:12" x14ac:dyDescent="0.2">
      <c r="A57" s="81" t="s">
        <v>127</v>
      </c>
      <c r="B57" s="81"/>
      <c r="C57" s="81"/>
      <c r="D57" s="81"/>
      <c r="E57" s="97">
        <f>E49+E56</f>
        <v>0</v>
      </c>
      <c r="F57" s="97">
        <f t="shared" ref="F57:K57" si="23">F49+F56</f>
        <v>0</v>
      </c>
      <c r="G57" s="97">
        <f t="shared" si="23"/>
        <v>0</v>
      </c>
      <c r="H57" s="97">
        <f t="shared" si="23"/>
        <v>0</v>
      </c>
      <c r="I57" s="97">
        <f t="shared" si="23"/>
        <v>0</v>
      </c>
      <c r="J57" s="97">
        <f t="shared" si="23"/>
        <v>0</v>
      </c>
      <c r="K57" s="97">
        <f t="shared" si="23"/>
        <v>0</v>
      </c>
    </row>
    <row r="58" spans="1:12" x14ac:dyDescent="0.2">
      <c r="A58" s="79"/>
      <c r="B58" s="79"/>
      <c r="C58" s="79"/>
      <c r="D58" s="79"/>
      <c r="E58" s="80"/>
      <c r="F58" s="80"/>
      <c r="G58" s="80"/>
      <c r="H58" s="80"/>
      <c r="I58" s="80"/>
      <c r="J58" s="80"/>
      <c r="K58" s="80"/>
    </row>
    <row r="59" spans="1:12" x14ac:dyDescent="0.2">
      <c r="A59" s="81" t="s">
        <v>303</v>
      </c>
      <c r="B59" s="81"/>
      <c r="C59" s="81"/>
      <c r="D59" s="81"/>
      <c r="E59" s="97">
        <f t="shared" ref="E59:K59" si="24">E39-E57</f>
        <v>0</v>
      </c>
      <c r="F59" s="97">
        <f t="shared" si="24"/>
        <v>0</v>
      </c>
      <c r="G59" s="97">
        <f t="shared" si="24"/>
        <v>0</v>
      </c>
      <c r="H59" s="97">
        <f t="shared" si="24"/>
        <v>0</v>
      </c>
      <c r="I59" s="97">
        <f t="shared" si="24"/>
        <v>0</v>
      </c>
      <c r="J59" s="97">
        <f t="shared" si="24"/>
        <v>0</v>
      </c>
      <c r="K59" s="97">
        <f t="shared" si="24"/>
        <v>0</v>
      </c>
    </row>
    <row r="60" spans="1:12" x14ac:dyDescent="0.2">
      <c r="A60" s="232"/>
      <c r="B60" s="232"/>
      <c r="C60" s="232"/>
      <c r="D60" s="232"/>
      <c r="E60" s="233"/>
      <c r="F60" s="233"/>
      <c r="G60" s="233"/>
      <c r="H60" s="233"/>
      <c r="I60" s="233"/>
      <c r="J60" s="233"/>
      <c r="K60" s="233"/>
    </row>
    <row r="61" spans="1:12" x14ac:dyDescent="0.2">
      <c r="A61" s="78"/>
      <c r="B61" s="78"/>
      <c r="C61" s="232"/>
      <c r="D61" s="232"/>
      <c r="E61" s="233"/>
      <c r="F61" s="233"/>
      <c r="G61" s="233"/>
      <c r="H61" s="233"/>
      <c r="I61" s="233"/>
      <c r="J61" s="233"/>
      <c r="K61" s="233"/>
    </row>
    <row r="62" spans="1:12" x14ac:dyDescent="0.2">
      <c r="A62" s="705" t="s">
        <v>404</v>
      </c>
      <c r="B62" s="705"/>
      <c r="C62" s="705"/>
      <c r="D62" s="705"/>
      <c r="E62" s="705"/>
      <c r="F62" s="705"/>
      <c r="G62" s="705"/>
      <c r="H62" s="705"/>
      <c r="I62" s="705"/>
      <c r="J62" s="705"/>
      <c r="K62" s="705"/>
      <c r="L62" s="705"/>
    </row>
    <row r="65" spans="1:2" x14ac:dyDescent="0.2">
      <c r="A65" t="s">
        <v>486</v>
      </c>
    </row>
    <row r="66" spans="1:2" x14ac:dyDescent="0.2">
      <c r="A66">
        <v>1</v>
      </c>
      <c r="B66" t="s">
        <v>496</v>
      </c>
    </row>
    <row r="67" spans="1:2" x14ac:dyDescent="0.2">
      <c r="A67">
        <v>2</v>
      </c>
      <c r="B67" t="s">
        <v>497</v>
      </c>
    </row>
    <row r="68" spans="1:2" x14ac:dyDescent="0.2">
      <c r="A68">
        <v>3</v>
      </c>
      <c r="B68" s="78" t="s">
        <v>542</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zoomScale="70" zoomScaleSheetLayoutView="70" workbookViewId="0" xr3:uid="{11A3ACCB-1F19-5AC9-A611-4158731A345D}">
      <selection activeCell="E34" sqref="E34"/>
    </sheetView>
  </sheetViews>
  <sheetFormatPr defaultRowHeight="15" x14ac:dyDescent="0.2"/>
  <cols>
    <col min="1" max="1" width="41.1640625" bestFit="1" customWidth="1"/>
    <col min="2" max="2" width="4.4375" bestFit="1" customWidth="1"/>
    <col min="3" max="3" width="10.625" bestFit="1" customWidth="1"/>
    <col min="4" max="4" width="13.44921875" bestFit="1" customWidth="1"/>
    <col min="5" max="5" width="19.37109375" bestFit="1" customWidth="1"/>
    <col min="6" max="6" width="14.66015625" customWidth="1"/>
    <col min="7" max="10" width="14.66015625" bestFit="1" customWidth="1"/>
    <col min="12" max="12" width="27.171875" bestFit="1" customWidth="1"/>
    <col min="18" max="20" width="9.4140625" bestFit="1" customWidth="1"/>
    <col min="22" max="22" width="9.4140625" bestFit="1" customWidth="1"/>
  </cols>
  <sheetData>
    <row r="2" spans="1:9" ht="18" x14ac:dyDescent="0.2">
      <c r="A2" s="704" t="s">
        <v>537</v>
      </c>
      <c r="B2" s="704"/>
      <c r="C2" s="704"/>
      <c r="D2" s="704"/>
      <c r="E2" s="704"/>
      <c r="F2" s="704"/>
      <c r="G2" s="704"/>
      <c r="H2" s="704"/>
      <c r="I2" s="704"/>
    </row>
    <row r="4" spans="1:9" x14ac:dyDescent="0.2">
      <c r="A4" s="78"/>
      <c r="B4" s="78"/>
      <c r="C4" s="78"/>
      <c r="D4" s="78"/>
      <c r="E4" s="78"/>
      <c r="F4" s="78"/>
      <c r="G4" s="78"/>
      <c r="H4" s="78"/>
      <c r="I4" s="78"/>
    </row>
    <row r="5" spans="1:9" x14ac:dyDescent="0.2">
      <c r="A5" s="78"/>
      <c r="B5" s="78"/>
      <c r="C5" s="78"/>
      <c r="D5" s="78"/>
      <c r="E5" s="78"/>
      <c r="F5" s="78"/>
      <c r="G5" s="78"/>
      <c r="H5" s="78"/>
      <c r="I5" s="78"/>
    </row>
    <row r="6" spans="1:9" x14ac:dyDescent="0.2">
      <c r="A6" s="122" t="s">
        <v>125</v>
      </c>
      <c r="B6" s="122"/>
      <c r="C6" s="102" t="s">
        <v>2</v>
      </c>
      <c r="D6" s="102" t="s">
        <v>3</v>
      </c>
      <c r="E6" s="102" t="s">
        <v>4</v>
      </c>
      <c r="F6" s="102" t="s">
        <v>5</v>
      </c>
      <c r="G6" s="102" t="s">
        <v>6</v>
      </c>
      <c r="H6" s="102" t="s">
        <v>163</v>
      </c>
      <c r="I6" s="102" t="s">
        <v>162</v>
      </c>
    </row>
    <row r="7" spans="1:9" x14ac:dyDescent="0.2">
      <c r="A7" s="85" t="s">
        <v>499</v>
      </c>
      <c r="B7" s="83"/>
      <c r="C7" s="83"/>
      <c r="D7" s="83"/>
      <c r="E7" s="83"/>
      <c r="F7" s="83"/>
      <c r="G7" s="83"/>
      <c r="H7" s="83"/>
      <c r="I7" s="83"/>
    </row>
    <row r="8" spans="1:9" x14ac:dyDescent="0.2">
      <c r="A8" s="85" t="s">
        <v>172</v>
      </c>
      <c r="B8" s="167"/>
      <c r="C8" s="216"/>
      <c r="D8" s="216"/>
      <c r="E8" s="216"/>
      <c r="F8" s="216"/>
      <c r="G8" s="216"/>
      <c r="H8" s="216"/>
      <c r="I8" s="216"/>
    </row>
    <row r="9" spans="1:9" x14ac:dyDescent="0.2">
      <c r="A9" s="83">
        <f>'11.F&amp;V Crop Production details'!A92</f>
        <v>0</v>
      </c>
      <c r="B9" s="167"/>
      <c r="C9" s="216">
        <f>'11.F&amp;V Crop Production details'!B92</f>
        <v>0</v>
      </c>
      <c r="D9" s="216">
        <f>'11.F&amp;V Crop Production details'!C92</f>
        <v>0</v>
      </c>
      <c r="E9" s="216">
        <f>'11.F&amp;V Crop Production details'!D92</f>
        <v>0</v>
      </c>
      <c r="F9" s="216">
        <f>'11.F&amp;V Crop Production details'!E92</f>
        <v>0</v>
      </c>
      <c r="G9" s="216">
        <f>'11.F&amp;V Crop Production details'!F92</f>
        <v>0</v>
      </c>
      <c r="H9" s="216">
        <f>'11.F&amp;V Crop Production details'!G92</f>
        <v>0</v>
      </c>
      <c r="I9" s="216">
        <f>'11.F&amp;V Crop Production details'!H92</f>
        <v>0</v>
      </c>
    </row>
    <row r="10" spans="1:9" x14ac:dyDescent="0.2">
      <c r="A10" s="83">
        <f>'11.F&amp;V Crop Production details'!A93</f>
        <v>0</v>
      </c>
      <c r="B10" s="167"/>
      <c r="C10" s="216">
        <f>'11.F&amp;V Crop Production details'!B93</f>
        <v>0</v>
      </c>
      <c r="D10" s="216">
        <f>'11.F&amp;V Crop Production details'!C93</f>
        <v>0</v>
      </c>
      <c r="E10" s="216">
        <f>'11.F&amp;V Crop Production details'!D93</f>
        <v>0</v>
      </c>
      <c r="F10" s="216">
        <f>'11.F&amp;V Crop Production details'!E93</f>
        <v>0</v>
      </c>
      <c r="G10" s="216">
        <f>'11.F&amp;V Crop Production details'!F93</f>
        <v>0</v>
      </c>
      <c r="H10" s="216">
        <f>'11.F&amp;V Crop Production details'!G93</f>
        <v>0</v>
      </c>
      <c r="I10" s="216">
        <f>'11.F&amp;V Crop Production details'!H93</f>
        <v>0</v>
      </c>
    </row>
    <row r="11" spans="1:9" x14ac:dyDescent="0.2">
      <c r="A11" s="83">
        <f>'11.F&amp;V Crop Production details'!A94</f>
        <v>0</v>
      </c>
      <c r="B11" s="167"/>
      <c r="C11" s="216">
        <f>'11.F&amp;V Crop Production details'!B94</f>
        <v>0</v>
      </c>
      <c r="D11" s="216">
        <f>'11.F&amp;V Crop Production details'!C94</f>
        <v>0</v>
      </c>
      <c r="E11" s="216">
        <f>'11.F&amp;V Crop Production details'!D94</f>
        <v>0</v>
      </c>
      <c r="F11" s="216">
        <f>'11.F&amp;V Crop Production details'!E94</f>
        <v>0</v>
      </c>
      <c r="G11" s="216">
        <f>'11.F&amp;V Crop Production details'!F94</f>
        <v>0</v>
      </c>
      <c r="H11" s="216">
        <f>'11.F&amp;V Crop Production details'!G94</f>
        <v>0</v>
      </c>
      <c r="I11" s="216">
        <f>'11.F&amp;V Crop Production details'!H94</f>
        <v>0</v>
      </c>
    </row>
    <row r="12" spans="1:9" x14ac:dyDescent="0.2">
      <c r="A12" s="83" t="str">
        <f>'11.F&amp;V Crop Production details'!A95</f>
        <v>Pomegranate</v>
      </c>
      <c r="B12" s="167"/>
      <c r="C12" s="216">
        <f>'11.F&amp;V Crop Production details'!B95</f>
        <v>0</v>
      </c>
      <c r="D12" s="216">
        <f>'11.F&amp;V Crop Production details'!C95</f>
        <v>0</v>
      </c>
      <c r="E12" s="216">
        <f>'11.F&amp;V Crop Production details'!D95</f>
        <v>0</v>
      </c>
      <c r="F12" s="216">
        <f>'11.F&amp;V Crop Production details'!E95</f>
        <v>0</v>
      </c>
      <c r="G12" s="216">
        <f>'11.F&amp;V Crop Production details'!F95</f>
        <v>0</v>
      </c>
      <c r="H12" s="216">
        <f>'11.F&amp;V Crop Production details'!G95</f>
        <v>0</v>
      </c>
      <c r="I12" s="216">
        <f>'11.F&amp;V Crop Production details'!H95</f>
        <v>0</v>
      </c>
    </row>
    <row r="13" spans="1:9" x14ac:dyDescent="0.2">
      <c r="A13" s="83" t="str">
        <f>'11.F&amp;V Crop Production details'!A96</f>
        <v>Custard Apple</v>
      </c>
      <c r="B13" s="167"/>
      <c r="C13" s="216">
        <f>'11.F&amp;V Crop Production details'!B96</f>
        <v>0</v>
      </c>
      <c r="D13" s="216">
        <f>'11.F&amp;V Crop Production details'!C96</f>
        <v>0</v>
      </c>
      <c r="E13" s="216">
        <f>'11.F&amp;V Crop Production details'!D96</f>
        <v>0</v>
      </c>
      <c r="F13" s="216">
        <f>'11.F&amp;V Crop Production details'!E96</f>
        <v>0</v>
      </c>
      <c r="G13" s="216">
        <f>'11.F&amp;V Crop Production details'!F96</f>
        <v>0</v>
      </c>
      <c r="H13" s="216">
        <f>'11.F&amp;V Crop Production details'!G96</f>
        <v>0</v>
      </c>
      <c r="I13" s="216">
        <f>'11.F&amp;V Crop Production details'!H96</f>
        <v>0</v>
      </c>
    </row>
    <row r="14" spans="1:9" x14ac:dyDescent="0.2">
      <c r="A14" s="83" t="str">
        <f>'11.F&amp;V Crop Production details'!A97</f>
        <v>Guava</v>
      </c>
      <c r="B14" s="167"/>
      <c r="C14" s="216">
        <f>'11.F&amp;V Crop Production details'!B97</f>
        <v>0</v>
      </c>
      <c r="D14" s="216">
        <f>'11.F&amp;V Crop Production details'!C97</f>
        <v>0</v>
      </c>
      <c r="E14" s="216">
        <f>'11.F&amp;V Crop Production details'!D97</f>
        <v>0</v>
      </c>
      <c r="F14" s="216">
        <f>'11.F&amp;V Crop Production details'!E97</f>
        <v>0</v>
      </c>
      <c r="G14" s="216">
        <f>'11.F&amp;V Crop Production details'!F97</f>
        <v>0</v>
      </c>
      <c r="H14" s="216">
        <f>'11.F&amp;V Crop Production details'!G97</f>
        <v>0</v>
      </c>
      <c r="I14" s="216">
        <f>'11.F&amp;V Crop Production details'!H97</f>
        <v>0</v>
      </c>
    </row>
    <row r="15" spans="1:9" x14ac:dyDescent="0.2">
      <c r="A15" s="83" t="str">
        <f>'11.F&amp;V Crop Production details'!A98</f>
        <v>Citrus</v>
      </c>
      <c r="B15" s="167"/>
      <c r="C15" s="216">
        <f>'11.F&amp;V Crop Production details'!B98</f>
        <v>0</v>
      </c>
      <c r="D15" s="216">
        <f>'11.F&amp;V Crop Production details'!C98</f>
        <v>0</v>
      </c>
      <c r="E15" s="216">
        <f>'11.F&amp;V Crop Production details'!D98</f>
        <v>0</v>
      </c>
      <c r="F15" s="216">
        <f>'11.F&amp;V Crop Production details'!E98</f>
        <v>0</v>
      </c>
      <c r="G15" s="216">
        <f>'11.F&amp;V Crop Production details'!F98</f>
        <v>0</v>
      </c>
      <c r="H15" s="216">
        <f>'11.F&amp;V Crop Production details'!G98</f>
        <v>0</v>
      </c>
      <c r="I15" s="216">
        <f>'11.F&amp;V Crop Production details'!H98</f>
        <v>0</v>
      </c>
    </row>
    <row r="16" spans="1:9" x14ac:dyDescent="0.2">
      <c r="A16" s="83" t="str">
        <f>'11.F&amp;V Crop Production details'!A99</f>
        <v>11.5 Crop-wise Area Considered for Agri Input Service Centre</v>
      </c>
      <c r="B16" s="167"/>
      <c r="C16" s="216">
        <f>'11.F&amp;V Crop Production details'!B99</f>
        <v>0</v>
      </c>
      <c r="D16" s="216">
        <f>'11.F&amp;V Crop Production details'!C99</f>
        <v>0</v>
      </c>
      <c r="E16" s="216">
        <f>'11.F&amp;V Crop Production details'!D99</f>
        <v>0</v>
      </c>
      <c r="F16" s="216">
        <f>'11.F&amp;V Crop Production details'!E99</f>
        <v>0</v>
      </c>
      <c r="G16" s="216">
        <f>'11.F&amp;V Crop Production details'!F99</f>
        <v>0</v>
      </c>
      <c r="H16" s="216">
        <f>'11.F&amp;V Crop Production details'!G99</f>
        <v>0</v>
      </c>
      <c r="I16" s="216">
        <f>'11.F&amp;V Crop Production details'!H99</f>
        <v>0</v>
      </c>
    </row>
    <row r="17" spans="1:9" x14ac:dyDescent="0.2">
      <c r="A17" s="85" t="s">
        <v>176</v>
      </c>
      <c r="B17" s="167"/>
      <c r="C17" s="216"/>
      <c r="D17" s="216"/>
      <c r="E17" s="216"/>
      <c r="F17" s="216"/>
      <c r="G17" s="216"/>
      <c r="H17" s="216"/>
      <c r="I17" s="216"/>
    </row>
    <row r="18" spans="1:9" x14ac:dyDescent="0.2">
      <c r="A18" s="83">
        <f>'11.F&amp;V Crop Production details'!A101</f>
        <v>0</v>
      </c>
      <c r="B18" s="167"/>
      <c r="C18" s="216" t="str">
        <f>'11.F&amp;V Crop Production details'!B101</f>
        <v>Y1</v>
      </c>
      <c r="D18" s="216" t="str">
        <f>'11.F&amp;V Crop Production details'!C101</f>
        <v>Y2</v>
      </c>
      <c r="E18" s="216" t="str">
        <f>'11.F&amp;V Crop Production details'!D101</f>
        <v>Y3</v>
      </c>
      <c r="F18" s="216" t="str">
        <f>'11.F&amp;V Crop Production details'!E101</f>
        <v>Y4</v>
      </c>
      <c r="G18" s="216" t="str">
        <f>'11.F&amp;V Crop Production details'!F101</f>
        <v>Y5</v>
      </c>
      <c r="H18" s="216" t="str">
        <f>'11.F&amp;V Crop Production details'!G101</f>
        <v>Y6</v>
      </c>
      <c r="I18" s="216" t="str">
        <f>'11.F&amp;V Crop Production details'!H101</f>
        <v>Y7</v>
      </c>
    </row>
    <row r="19" spans="1:9" x14ac:dyDescent="0.2">
      <c r="A19" s="83" t="str">
        <f>'11.F&amp;V Crop Production details'!A102</f>
        <v>Onion</v>
      </c>
      <c r="B19" s="167"/>
      <c r="C19" s="216">
        <f>'11.F&amp;V Crop Production details'!B102</f>
        <v>0</v>
      </c>
      <c r="D19" s="216">
        <f>'11.F&amp;V Crop Production details'!C102</f>
        <v>0</v>
      </c>
      <c r="E19" s="216">
        <f>'11.F&amp;V Crop Production details'!D102</f>
        <v>0</v>
      </c>
      <c r="F19" s="216">
        <f>'11.F&amp;V Crop Production details'!E102</f>
        <v>0</v>
      </c>
      <c r="G19" s="216">
        <f>'11.F&amp;V Crop Production details'!F102</f>
        <v>0</v>
      </c>
      <c r="H19" s="216">
        <f>'11.F&amp;V Crop Production details'!G102</f>
        <v>0</v>
      </c>
      <c r="I19" s="216">
        <f>'11.F&amp;V Crop Production details'!H102</f>
        <v>0</v>
      </c>
    </row>
    <row r="20" spans="1:9" x14ac:dyDescent="0.2">
      <c r="A20" s="83" t="str">
        <f>'11.F&amp;V Crop Production details'!A103</f>
        <v>Tomato</v>
      </c>
      <c r="B20" s="167"/>
      <c r="C20" s="216">
        <f>'11.F&amp;V Crop Production details'!B103</f>
        <v>0</v>
      </c>
      <c r="D20" s="216">
        <f>'11.F&amp;V Crop Production details'!C103</f>
        <v>0</v>
      </c>
      <c r="E20" s="216">
        <f>'11.F&amp;V Crop Production details'!D103</f>
        <v>0</v>
      </c>
      <c r="F20" s="216">
        <f>'11.F&amp;V Crop Production details'!E103</f>
        <v>0</v>
      </c>
      <c r="G20" s="216">
        <f>'11.F&amp;V Crop Production details'!F103</f>
        <v>0</v>
      </c>
      <c r="H20" s="216">
        <f>'11.F&amp;V Crop Production details'!G103</f>
        <v>0</v>
      </c>
      <c r="I20" s="216">
        <f>'11.F&amp;V Crop Production details'!H103</f>
        <v>0</v>
      </c>
    </row>
    <row r="21" spans="1:9" x14ac:dyDescent="0.2">
      <c r="A21" s="83" t="str">
        <f>'11.F&amp;V Crop Production details'!A104</f>
        <v>Okra</v>
      </c>
      <c r="B21" s="167"/>
      <c r="C21" s="216">
        <f>'11.F&amp;V Crop Production details'!B104</f>
        <v>0</v>
      </c>
      <c r="D21" s="216">
        <f>'11.F&amp;V Crop Production details'!C104</f>
        <v>0</v>
      </c>
      <c r="E21" s="216">
        <f>'11.F&amp;V Crop Production details'!D104</f>
        <v>0</v>
      </c>
      <c r="F21" s="216">
        <f>'11.F&amp;V Crop Production details'!E104</f>
        <v>0</v>
      </c>
      <c r="G21" s="216">
        <f>'11.F&amp;V Crop Production details'!F104</f>
        <v>0</v>
      </c>
      <c r="H21" s="216">
        <f>'11.F&amp;V Crop Production details'!G104</f>
        <v>0</v>
      </c>
      <c r="I21" s="216">
        <f>'11.F&amp;V Crop Production details'!H104</f>
        <v>0</v>
      </c>
    </row>
    <row r="22" spans="1:9" x14ac:dyDescent="0.2">
      <c r="A22" s="83" t="str">
        <f>'11.F&amp;V Crop Production details'!A105</f>
        <v>Chilli</v>
      </c>
      <c r="B22" s="167"/>
      <c r="C22" s="216">
        <f>'11.F&amp;V Crop Production details'!B105</f>
        <v>0</v>
      </c>
      <c r="D22" s="216">
        <f>'11.F&amp;V Crop Production details'!C105</f>
        <v>0</v>
      </c>
      <c r="E22" s="216">
        <f>'11.F&amp;V Crop Production details'!D105</f>
        <v>0</v>
      </c>
      <c r="F22" s="216">
        <f>'11.F&amp;V Crop Production details'!E105</f>
        <v>0</v>
      </c>
      <c r="G22" s="216">
        <f>'11.F&amp;V Crop Production details'!F105</f>
        <v>0</v>
      </c>
      <c r="H22" s="216">
        <f>'11.F&amp;V Crop Production details'!G105</f>
        <v>0</v>
      </c>
      <c r="I22" s="216">
        <f>'11.F&amp;V Crop Production details'!H105</f>
        <v>0</v>
      </c>
    </row>
    <row r="23" spans="1:9" x14ac:dyDescent="0.2">
      <c r="A23" s="83" t="str">
        <f>'11.F&amp;V Crop Production details'!A106</f>
        <v>Potato</v>
      </c>
      <c r="B23" s="167"/>
      <c r="C23" s="216">
        <f>'11.F&amp;V Crop Production details'!B106</f>
        <v>0</v>
      </c>
      <c r="D23" s="216">
        <f>'11.F&amp;V Crop Production details'!C106</f>
        <v>0</v>
      </c>
      <c r="E23" s="216">
        <f>'11.F&amp;V Crop Production details'!D106</f>
        <v>0</v>
      </c>
      <c r="F23" s="216">
        <f>'11.F&amp;V Crop Production details'!E106</f>
        <v>0</v>
      </c>
      <c r="G23" s="216">
        <f>'11.F&amp;V Crop Production details'!F106</f>
        <v>0</v>
      </c>
      <c r="H23" s="216">
        <f>'11.F&amp;V Crop Production details'!G106</f>
        <v>0</v>
      </c>
      <c r="I23" s="216">
        <f>'11.F&amp;V Crop Production details'!H106</f>
        <v>0</v>
      </c>
    </row>
    <row r="24" spans="1:9" x14ac:dyDescent="0.2">
      <c r="A24" s="83">
        <f>'11.F&amp;V Crop Production details'!A107</f>
        <v>0</v>
      </c>
      <c r="B24" s="167"/>
      <c r="C24" s="216">
        <f>'11.F&amp;V Crop Production details'!B107</f>
        <v>0</v>
      </c>
      <c r="D24" s="216">
        <f>'11.F&amp;V Crop Production details'!C107</f>
        <v>0</v>
      </c>
      <c r="E24" s="216">
        <f>'11.F&amp;V Crop Production details'!D107</f>
        <v>0</v>
      </c>
      <c r="F24" s="216">
        <f>'11.F&amp;V Crop Production details'!E107</f>
        <v>0</v>
      </c>
      <c r="G24" s="216">
        <f>'11.F&amp;V Crop Production details'!F107</f>
        <v>0</v>
      </c>
      <c r="H24" s="216">
        <f>'11.F&amp;V Crop Production details'!G107</f>
        <v>0</v>
      </c>
      <c r="I24" s="216">
        <f>'11.F&amp;V Crop Production details'!H107</f>
        <v>0</v>
      </c>
    </row>
    <row r="25" spans="1:9" x14ac:dyDescent="0.2">
      <c r="A25" s="83">
        <f>'11.F&amp;V Crop Production details'!A108</f>
        <v>0</v>
      </c>
      <c r="B25" s="167"/>
      <c r="C25" s="216">
        <f>'11.F&amp;V Crop Production details'!B108</f>
        <v>0</v>
      </c>
      <c r="D25" s="216">
        <f>'11.F&amp;V Crop Production details'!C108</f>
        <v>0</v>
      </c>
      <c r="E25" s="216">
        <f>'11.F&amp;V Crop Production details'!D108</f>
        <v>0</v>
      </c>
      <c r="F25" s="216">
        <f>'11.F&amp;V Crop Production details'!E108</f>
        <v>0</v>
      </c>
      <c r="G25" s="216">
        <f>'11.F&amp;V Crop Production details'!F108</f>
        <v>0</v>
      </c>
      <c r="H25" s="216">
        <f>'11.F&amp;V Crop Production details'!G108</f>
        <v>0</v>
      </c>
      <c r="I25" s="216">
        <f>'11.F&amp;V Crop Production details'!H108</f>
        <v>0</v>
      </c>
    </row>
    <row r="26" spans="1:9" x14ac:dyDescent="0.2">
      <c r="A26" s="85" t="str">
        <f>'11.F&amp;V Crop Production details'!A33</f>
        <v>Summer</v>
      </c>
      <c r="B26" s="167"/>
      <c r="C26" s="216"/>
      <c r="D26" s="216"/>
      <c r="E26" s="216"/>
      <c r="F26" s="216"/>
      <c r="G26" s="216"/>
      <c r="H26" s="216"/>
      <c r="I26" s="216"/>
    </row>
    <row r="27" spans="1:9" x14ac:dyDescent="0.2">
      <c r="A27" s="83">
        <f>'11.F&amp;V Crop Production details'!A109</f>
        <v>0</v>
      </c>
      <c r="B27" s="167"/>
      <c r="C27" s="216">
        <f>'11.F&amp;V Crop Production details'!B110</f>
        <v>0</v>
      </c>
      <c r="D27" s="216">
        <f>'11.F&amp;V Crop Production details'!C110</f>
        <v>0</v>
      </c>
      <c r="E27" s="216">
        <f>'11.F&amp;V Crop Production details'!D110</f>
        <v>0</v>
      </c>
      <c r="F27" s="216">
        <f>'11.F&amp;V Crop Production details'!E110</f>
        <v>0</v>
      </c>
      <c r="G27" s="216">
        <f>'11.F&amp;V Crop Production details'!F110</f>
        <v>0</v>
      </c>
      <c r="H27" s="216">
        <f>'11.F&amp;V Crop Production details'!G110</f>
        <v>0</v>
      </c>
      <c r="I27" s="216">
        <f>'11.F&amp;V Crop Production details'!H110</f>
        <v>0</v>
      </c>
    </row>
    <row r="28" spans="1:9" x14ac:dyDescent="0.2">
      <c r="A28" s="83">
        <f>'11.F&amp;V Crop Production details'!A110</f>
        <v>0</v>
      </c>
      <c r="B28" s="167"/>
      <c r="C28" s="216">
        <f>'11.F&amp;V Crop Production details'!B111</f>
        <v>0</v>
      </c>
      <c r="D28" s="216">
        <f>'11.F&amp;V Crop Production details'!C111</f>
        <v>0</v>
      </c>
      <c r="E28" s="216">
        <f>'11.F&amp;V Crop Production details'!D111</f>
        <v>0</v>
      </c>
      <c r="F28" s="216">
        <f>'11.F&amp;V Crop Production details'!E111</f>
        <v>0</v>
      </c>
      <c r="G28" s="216">
        <f>'11.F&amp;V Crop Production details'!F111</f>
        <v>0</v>
      </c>
      <c r="H28" s="216">
        <f>'11.F&amp;V Crop Production details'!G111</f>
        <v>0</v>
      </c>
      <c r="I28" s="216">
        <f>'11.F&amp;V Crop Production details'!H111</f>
        <v>0</v>
      </c>
    </row>
    <row r="29" spans="1:9" x14ac:dyDescent="0.2">
      <c r="A29" s="83" t="str">
        <f>'11.F&amp;V Crop Production details'!A111</f>
        <v>Onion</v>
      </c>
      <c r="B29" s="167"/>
      <c r="C29" s="216">
        <f>'11.F&amp;V Crop Production details'!B112</f>
        <v>0</v>
      </c>
      <c r="D29" s="216">
        <f>'11.F&amp;V Crop Production details'!C112</f>
        <v>0</v>
      </c>
      <c r="E29" s="216">
        <f>'11.F&amp;V Crop Production details'!D112</f>
        <v>0</v>
      </c>
      <c r="F29" s="216">
        <f>'11.F&amp;V Crop Production details'!E112</f>
        <v>0</v>
      </c>
      <c r="G29" s="216">
        <f>'11.F&amp;V Crop Production details'!F112</f>
        <v>0</v>
      </c>
      <c r="H29" s="216">
        <f>'11.F&amp;V Crop Production details'!G112</f>
        <v>0</v>
      </c>
      <c r="I29" s="216">
        <f>'11.F&amp;V Crop Production details'!H112</f>
        <v>0</v>
      </c>
    </row>
    <row r="30" spans="1:9" x14ac:dyDescent="0.2">
      <c r="A30" s="83" t="str">
        <f>'11.F&amp;V Crop Production details'!A112</f>
        <v>Tomato</v>
      </c>
      <c r="B30" s="167"/>
      <c r="C30" s="216">
        <f>'11.F&amp;V Crop Production details'!B113</f>
        <v>0</v>
      </c>
      <c r="D30" s="216">
        <f>'11.F&amp;V Crop Production details'!C113</f>
        <v>0</v>
      </c>
      <c r="E30" s="216">
        <f>'11.F&amp;V Crop Production details'!D113</f>
        <v>0</v>
      </c>
      <c r="F30" s="216">
        <f>'11.F&amp;V Crop Production details'!E113</f>
        <v>0</v>
      </c>
      <c r="G30" s="216">
        <f>'11.F&amp;V Crop Production details'!F113</f>
        <v>0</v>
      </c>
      <c r="H30" s="216">
        <f>'11.F&amp;V Crop Production details'!G113</f>
        <v>0</v>
      </c>
      <c r="I30" s="216">
        <f>'11.F&amp;V Crop Production details'!H113</f>
        <v>0</v>
      </c>
    </row>
    <row r="31" spans="1:9" x14ac:dyDescent="0.2">
      <c r="A31" s="83" t="str">
        <f>'11.F&amp;V Crop Production details'!A113</f>
        <v>Okra</v>
      </c>
      <c r="B31" s="167"/>
      <c r="C31" s="216">
        <f>'11.F&amp;V Crop Production details'!C114</f>
        <v>0</v>
      </c>
      <c r="D31" s="216">
        <f>'11.F&amp;V Crop Production details'!D114</f>
        <v>0</v>
      </c>
      <c r="E31" s="216">
        <f>'11.F&amp;V Crop Production details'!E114</f>
        <v>0</v>
      </c>
      <c r="F31" s="216">
        <f>'11.F&amp;V Crop Production details'!F114</f>
        <v>0</v>
      </c>
      <c r="G31" s="216">
        <f>'11.F&amp;V Crop Production details'!G114</f>
        <v>0</v>
      </c>
      <c r="H31" s="216">
        <f>'11.F&amp;V Crop Production details'!H114</f>
        <v>0</v>
      </c>
      <c r="I31" s="216">
        <f>'11.F&amp;V Crop Production details'!I114</f>
        <v>0</v>
      </c>
    </row>
    <row r="32" spans="1:9" x14ac:dyDescent="0.2">
      <c r="A32" s="85" t="str">
        <f>'10.Grain Production details.'!A1:H1</f>
        <v>10 Grain Crop Production Details</v>
      </c>
      <c r="B32" s="167"/>
      <c r="C32" s="216"/>
      <c r="D32" s="216"/>
      <c r="E32" s="216"/>
      <c r="F32" s="216"/>
      <c r="G32" s="216"/>
      <c r="H32" s="216"/>
      <c r="I32" s="216"/>
    </row>
    <row r="33" spans="1:9" x14ac:dyDescent="0.2">
      <c r="A33" s="83" t="str">
        <f>'10.Grain Production details.'!A44</f>
        <v>Assumptions:</v>
      </c>
      <c r="B33" s="167"/>
      <c r="C33" s="216">
        <f>'10.Grain Production details.'!B44</f>
        <v>0</v>
      </c>
      <c r="D33" s="216">
        <f>'10.Grain Production details.'!C44</f>
        <v>0</v>
      </c>
      <c r="E33" s="216">
        <f>'10.Grain Production details.'!D44</f>
        <v>0</v>
      </c>
      <c r="F33" s="216">
        <f>'10.Grain Production details.'!E44</f>
        <v>0</v>
      </c>
      <c r="G33" s="216">
        <f>'10.Grain Production details.'!F44</f>
        <v>0</v>
      </c>
      <c r="H33" s="216">
        <f>'10.Grain Production details.'!G44</f>
        <v>0</v>
      </c>
      <c r="I33" s="216">
        <f>'10.Grain Production details.'!H44</f>
        <v>0</v>
      </c>
    </row>
    <row r="34" spans="1:9" x14ac:dyDescent="0.2">
      <c r="A34" s="83" t="e">
        <f>'10.Grain Production details.'!#REF!</f>
        <v>#REF!</v>
      </c>
      <c r="B34" s="167"/>
      <c r="C34" s="216" t="e">
        <f>'10.Grain Production details.'!#REF!</f>
        <v>#REF!</v>
      </c>
      <c r="D34" s="216" t="e">
        <f>'10.Grain Production details.'!#REF!</f>
        <v>#REF!</v>
      </c>
      <c r="E34" s="216" t="e">
        <f>'10.Grain Production details.'!#REF!</f>
        <v>#REF!</v>
      </c>
      <c r="F34" s="216" t="e">
        <f>'10.Grain Production details.'!#REF!</f>
        <v>#REF!</v>
      </c>
      <c r="G34" s="216" t="e">
        <f>'10.Grain Production details.'!#REF!</f>
        <v>#REF!</v>
      </c>
      <c r="H34" s="216" t="e">
        <f>'10.Grain Production details.'!#REF!</f>
        <v>#REF!</v>
      </c>
      <c r="I34" s="216" t="e">
        <f>'10.Grain Production details.'!#REF!</f>
        <v>#REF!</v>
      </c>
    </row>
    <row r="35" spans="1:9" x14ac:dyDescent="0.2">
      <c r="A35" s="83" t="e">
        <f>'10.Grain Production details.'!#REF!</f>
        <v>#REF!</v>
      </c>
      <c r="B35" s="167"/>
      <c r="C35" s="216" t="e">
        <f>'10.Grain Production details.'!#REF!</f>
        <v>#REF!</v>
      </c>
      <c r="D35" s="216" t="e">
        <f>'10.Grain Production details.'!#REF!</f>
        <v>#REF!</v>
      </c>
      <c r="E35" s="216" t="e">
        <f>'10.Grain Production details.'!#REF!</f>
        <v>#REF!</v>
      </c>
      <c r="F35" s="216" t="e">
        <f>'10.Grain Production details.'!#REF!</f>
        <v>#REF!</v>
      </c>
      <c r="G35" s="216" t="e">
        <f>'10.Grain Production details.'!#REF!</f>
        <v>#REF!</v>
      </c>
      <c r="H35" s="216" t="e">
        <f>'10.Grain Production details.'!#REF!</f>
        <v>#REF!</v>
      </c>
      <c r="I35" s="216" t="e">
        <f>'10.Grain Production details.'!#REF!</f>
        <v>#REF!</v>
      </c>
    </row>
    <row r="36" spans="1:9" x14ac:dyDescent="0.2">
      <c r="A36" s="83">
        <f>'10.Grain Production details.'!A45</f>
        <v>1</v>
      </c>
      <c r="B36" s="167"/>
      <c r="C36" s="216" t="str">
        <f>'10.Grain Production details.'!B45</f>
        <v>35% of total produce of the cluster will be trade in first year and it will increase everyear year by 5 %</v>
      </c>
      <c r="D36" s="216">
        <f>'10.Grain Production details.'!C45</f>
        <v>0</v>
      </c>
      <c r="E36" s="216">
        <f>'10.Grain Production details.'!D45</f>
        <v>0</v>
      </c>
      <c r="F36" s="216">
        <f>'10.Grain Production details.'!E45</f>
        <v>0</v>
      </c>
      <c r="G36" s="216">
        <f>'10.Grain Production details.'!F45</f>
        <v>0</v>
      </c>
      <c r="H36" s="216">
        <f>'10.Grain Production details.'!G45</f>
        <v>0</v>
      </c>
      <c r="I36" s="216">
        <f>'10.Grain Production details.'!H45</f>
        <v>0</v>
      </c>
    </row>
    <row r="37" spans="1:9" x14ac:dyDescent="0.2">
      <c r="A37" s="83" t="e">
        <f>'10.Grain Production details.'!#REF!</f>
        <v>#REF!</v>
      </c>
      <c r="B37" s="167"/>
      <c r="C37" s="216" t="e">
        <f>'10.Grain Production details.'!#REF!</f>
        <v>#REF!</v>
      </c>
      <c r="D37" s="216" t="e">
        <f>'10.Grain Production details.'!#REF!</f>
        <v>#REF!</v>
      </c>
      <c r="E37" s="216" t="e">
        <f>'10.Grain Production details.'!#REF!</f>
        <v>#REF!</v>
      </c>
      <c r="F37" s="216" t="e">
        <f>'10.Grain Production details.'!#REF!</f>
        <v>#REF!</v>
      </c>
      <c r="G37" s="216" t="e">
        <f>'10.Grain Production details.'!#REF!</f>
        <v>#REF!</v>
      </c>
      <c r="H37" s="216" t="e">
        <f>'10.Grain Production details.'!#REF!</f>
        <v>#REF!</v>
      </c>
      <c r="I37" s="216" t="e">
        <f>'10.Grain Production details.'!#REF!</f>
        <v>#REF!</v>
      </c>
    </row>
    <row r="38" spans="1:9" x14ac:dyDescent="0.2">
      <c r="A38" s="83" t="e">
        <f>'10.Grain Production details.'!#REF!</f>
        <v>#REF!</v>
      </c>
      <c r="B38" s="167"/>
      <c r="C38" s="216" t="e">
        <f>'10.Grain Production details.'!#REF!</f>
        <v>#REF!</v>
      </c>
      <c r="D38" s="216" t="e">
        <f>'10.Grain Production details.'!#REF!</f>
        <v>#REF!</v>
      </c>
      <c r="E38" s="216" t="e">
        <f>'10.Grain Production details.'!#REF!</f>
        <v>#REF!</v>
      </c>
      <c r="F38" s="216" t="e">
        <f>'10.Grain Production details.'!#REF!</f>
        <v>#REF!</v>
      </c>
      <c r="G38" s="216" t="e">
        <f>'10.Grain Production details.'!#REF!</f>
        <v>#REF!</v>
      </c>
      <c r="H38" s="216" t="e">
        <f>'10.Grain Production details.'!#REF!</f>
        <v>#REF!</v>
      </c>
      <c r="I38" s="216" t="e">
        <f>'10.Grain Production details.'!#REF!</f>
        <v>#REF!</v>
      </c>
    </row>
    <row r="39" spans="1:9" x14ac:dyDescent="0.2">
      <c r="A39" s="83" t="e">
        <f>'10.Grain Production details.'!#REF!</f>
        <v>#REF!</v>
      </c>
      <c r="B39" s="167"/>
      <c r="C39" s="216" t="e">
        <f>'10.Grain Production details.'!#REF!</f>
        <v>#REF!</v>
      </c>
      <c r="D39" s="216" t="e">
        <f>'10.Grain Production details.'!#REF!</f>
        <v>#REF!</v>
      </c>
      <c r="E39" s="216" t="e">
        <f>'10.Grain Production details.'!#REF!</f>
        <v>#REF!</v>
      </c>
      <c r="F39" s="216" t="e">
        <f>'10.Grain Production details.'!#REF!</f>
        <v>#REF!</v>
      </c>
      <c r="G39" s="216" t="e">
        <f>'10.Grain Production details.'!#REF!</f>
        <v>#REF!</v>
      </c>
      <c r="H39" s="216" t="e">
        <f>'10.Grain Production details.'!#REF!</f>
        <v>#REF!</v>
      </c>
      <c r="I39" s="216" t="e">
        <f>'10.Grain Production details.'!#REF!</f>
        <v>#REF!</v>
      </c>
    </row>
    <row r="40" spans="1:9" x14ac:dyDescent="0.2">
      <c r="A40" s="83" t="e">
        <f>'10.Grain Production details.'!#REF!</f>
        <v>#REF!</v>
      </c>
      <c r="B40" s="167"/>
      <c r="C40" s="216" t="e">
        <f>'10.Grain Production details.'!#REF!</f>
        <v>#REF!</v>
      </c>
      <c r="D40" s="216" t="e">
        <f>'10.Grain Production details.'!#REF!</f>
        <v>#REF!</v>
      </c>
      <c r="E40" s="216" t="e">
        <f>'10.Grain Production details.'!#REF!</f>
        <v>#REF!</v>
      </c>
      <c r="F40" s="216" t="e">
        <f>'10.Grain Production details.'!#REF!</f>
        <v>#REF!</v>
      </c>
      <c r="G40" s="216" t="e">
        <f>'10.Grain Production details.'!#REF!</f>
        <v>#REF!</v>
      </c>
      <c r="H40" s="216" t="e">
        <f>'10.Grain Production details.'!#REF!</f>
        <v>#REF!</v>
      </c>
      <c r="I40" s="216" t="e">
        <f>'10.Grain Production details.'!#REF!</f>
        <v>#REF!</v>
      </c>
    </row>
    <row r="41" spans="1:9" x14ac:dyDescent="0.2">
      <c r="A41" s="83" t="e">
        <f>'10.Grain Production details.'!#REF!</f>
        <v>#REF!</v>
      </c>
      <c r="B41" s="167"/>
      <c r="C41" s="216" t="e">
        <f>'10.Grain Production details.'!#REF!</f>
        <v>#REF!</v>
      </c>
      <c r="D41" s="216" t="e">
        <f>'10.Grain Production details.'!#REF!</f>
        <v>#REF!</v>
      </c>
      <c r="E41" s="216" t="e">
        <f>'10.Grain Production details.'!#REF!</f>
        <v>#REF!</v>
      </c>
      <c r="F41" s="216" t="e">
        <f>'10.Grain Production details.'!#REF!</f>
        <v>#REF!</v>
      </c>
      <c r="G41" s="216" t="e">
        <f>'10.Grain Production details.'!#REF!</f>
        <v>#REF!</v>
      </c>
      <c r="H41" s="216" t="e">
        <f>'10.Grain Production details.'!#REF!</f>
        <v>#REF!</v>
      </c>
      <c r="I41" s="216" t="e">
        <f>'10.Grain Production details.'!#REF!</f>
        <v>#REF!</v>
      </c>
    </row>
    <row r="42" spans="1:9" x14ac:dyDescent="0.2">
      <c r="A42" s="83" t="e">
        <f>'10.Grain Production details.'!#REF!</f>
        <v>#REF!</v>
      </c>
      <c r="B42" s="167"/>
      <c r="C42" s="216" t="e">
        <f>'10.Grain Production details.'!#REF!</f>
        <v>#REF!</v>
      </c>
      <c r="D42" s="216" t="e">
        <f>'10.Grain Production details.'!#REF!</f>
        <v>#REF!</v>
      </c>
      <c r="E42" s="216" t="e">
        <f>'10.Grain Production details.'!#REF!</f>
        <v>#REF!</v>
      </c>
      <c r="F42" s="216" t="e">
        <f>'10.Grain Production details.'!#REF!</f>
        <v>#REF!</v>
      </c>
      <c r="G42" s="216" t="e">
        <f>'10.Grain Production details.'!#REF!</f>
        <v>#REF!</v>
      </c>
      <c r="H42" s="216" t="e">
        <f>'10.Grain Production details.'!#REF!</f>
        <v>#REF!</v>
      </c>
      <c r="I42" s="216" t="e">
        <f>'10.Grain Production details.'!#REF!</f>
        <v>#REF!</v>
      </c>
    </row>
    <row r="43" spans="1:9" x14ac:dyDescent="0.2">
      <c r="A43" s="83" t="e">
        <f>'10.Grain Production details.'!#REF!</f>
        <v>#REF!</v>
      </c>
      <c r="B43" s="167"/>
      <c r="C43" s="216" t="e">
        <f>'10.Grain Production details.'!#REF!</f>
        <v>#REF!</v>
      </c>
      <c r="D43" s="216" t="e">
        <f>'10.Grain Production details.'!#REF!</f>
        <v>#REF!</v>
      </c>
      <c r="E43" s="216" t="e">
        <f>'10.Grain Production details.'!#REF!</f>
        <v>#REF!</v>
      </c>
      <c r="F43" s="216" t="e">
        <f>'10.Grain Production details.'!#REF!</f>
        <v>#REF!</v>
      </c>
      <c r="G43" s="216" t="e">
        <f>'10.Grain Production details.'!#REF!</f>
        <v>#REF!</v>
      </c>
      <c r="H43" s="216" t="e">
        <f>'10.Grain Production details.'!#REF!</f>
        <v>#REF!</v>
      </c>
      <c r="I43" s="216" t="e">
        <f>'10.Grain Production details.'!#REF!</f>
        <v>#REF!</v>
      </c>
    </row>
    <row r="44" spans="1:9" x14ac:dyDescent="0.2">
      <c r="A44" s="83" t="e">
        <f>'10.Grain Production details.'!#REF!</f>
        <v>#REF!</v>
      </c>
      <c r="B44" s="167"/>
      <c r="C44" s="216" t="e">
        <f>'10.Grain Production details.'!#REF!</f>
        <v>#REF!</v>
      </c>
      <c r="D44" s="216" t="e">
        <f>'10.Grain Production details.'!#REF!</f>
        <v>#REF!</v>
      </c>
      <c r="E44" s="216" t="e">
        <f>'10.Grain Production details.'!#REF!</f>
        <v>#REF!</v>
      </c>
      <c r="F44" s="216" t="e">
        <f>'10.Grain Production details.'!#REF!</f>
        <v>#REF!</v>
      </c>
      <c r="G44" s="216" t="e">
        <f>'10.Grain Production details.'!#REF!</f>
        <v>#REF!</v>
      </c>
      <c r="H44" s="216" t="e">
        <f>'10.Grain Production details.'!#REF!</f>
        <v>#REF!</v>
      </c>
      <c r="I44" s="216" t="e">
        <f>'10.Grain Production details.'!#REF!</f>
        <v>#REF!</v>
      </c>
    </row>
    <row r="45" spans="1:9" x14ac:dyDescent="0.2">
      <c r="A45" s="83" t="e">
        <f>'10.Grain Production details.'!#REF!</f>
        <v>#REF!</v>
      </c>
      <c r="B45" s="167"/>
      <c r="C45" s="216" t="e">
        <f>'10.Grain Production details.'!#REF!</f>
        <v>#REF!</v>
      </c>
      <c r="D45" s="216" t="e">
        <f>'10.Grain Production details.'!#REF!</f>
        <v>#REF!</v>
      </c>
      <c r="E45" s="216" t="e">
        <f>'10.Grain Production details.'!#REF!</f>
        <v>#REF!</v>
      </c>
      <c r="F45" s="216" t="e">
        <f>'10.Grain Production details.'!#REF!</f>
        <v>#REF!</v>
      </c>
      <c r="G45" s="216" t="e">
        <f>'10.Grain Production details.'!#REF!</f>
        <v>#REF!</v>
      </c>
      <c r="H45" s="216" t="e">
        <f>'10.Grain Production details.'!#REF!</f>
        <v>#REF!</v>
      </c>
      <c r="I45" s="216" t="e">
        <f>'10.Grain Production details.'!#REF!</f>
        <v>#REF!</v>
      </c>
    </row>
    <row r="46" spans="1:9" x14ac:dyDescent="0.2">
      <c r="A46" s="83" t="e">
        <f>'10.Grain Production details.'!#REF!</f>
        <v>#REF!</v>
      </c>
      <c r="B46" s="167"/>
      <c r="C46" s="216" t="e">
        <f>'10.Grain Production details.'!#REF!</f>
        <v>#REF!</v>
      </c>
      <c r="D46" s="216" t="e">
        <f>'10.Grain Production details.'!#REF!</f>
        <v>#REF!</v>
      </c>
      <c r="E46" s="216" t="e">
        <f>'10.Grain Production details.'!#REF!</f>
        <v>#REF!</v>
      </c>
      <c r="F46" s="216" t="e">
        <f>'10.Grain Production details.'!#REF!</f>
        <v>#REF!</v>
      </c>
      <c r="G46" s="216" t="e">
        <f>'10.Grain Production details.'!#REF!</f>
        <v>#REF!</v>
      </c>
      <c r="H46" s="216" t="e">
        <f>'10.Grain Production details.'!#REF!</f>
        <v>#REF!</v>
      </c>
      <c r="I46" s="216" t="e">
        <f>'10.Grain Production details.'!#REF!</f>
        <v>#REF!</v>
      </c>
    </row>
    <row r="47" spans="1:9" x14ac:dyDescent="0.2">
      <c r="A47" s="83" t="e">
        <f>'10.Grain Production details.'!#REF!</f>
        <v>#REF!</v>
      </c>
      <c r="B47" s="167"/>
      <c r="C47" s="216" t="e">
        <f>'10.Grain Production details.'!#REF!</f>
        <v>#REF!</v>
      </c>
      <c r="D47" s="216" t="e">
        <f>'10.Grain Production details.'!#REF!</f>
        <v>#REF!</v>
      </c>
      <c r="E47" s="216" t="e">
        <f>'10.Grain Production details.'!#REF!</f>
        <v>#REF!</v>
      </c>
      <c r="F47" s="216" t="e">
        <f>'10.Grain Production details.'!#REF!</f>
        <v>#REF!</v>
      </c>
      <c r="G47" s="216" t="e">
        <f>'10.Grain Production details.'!#REF!</f>
        <v>#REF!</v>
      </c>
      <c r="H47" s="216" t="e">
        <f>'10.Grain Production details.'!#REF!</f>
        <v>#REF!</v>
      </c>
      <c r="I47" s="216" t="e">
        <f>'10.Grain Production details.'!#REF!</f>
        <v>#REF!</v>
      </c>
    </row>
    <row r="48" spans="1:9" x14ac:dyDescent="0.2">
      <c r="A48" s="83" t="e">
        <f>'10.Grain Production details.'!#REF!</f>
        <v>#REF!</v>
      </c>
      <c r="B48" s="167"/>
      <c r="C48" s="216" t="e">
        <f>'10.Grain Production details.'!#REF!</f>
        <v>#REF!</v>
      </c>
      <c r="D48" s="216" t="e">
        <f>'10.Grain Production details.'!#REF!</f>
        <v>#REF!</v>
      </c>
      <c r="E48" s="216" t="e">
        <f>'10.Grain Production details.'!#REF!</f>
        <v>#REF!</v>
      </c>
      <c r="F48" s="216" t="e">
        <f>'10.Grain Production details.'!#REF!</f>
        <v>#REF!</v>
      </c>
      <c r="G48" s="216" t="e">
        <f>'10.Grain Production details.'!#REF!</f>
        <v>#REF!</v>
      </c>
      <c r="H48" s="216" t="e">
        <f>'10.Grain Production details.'!#REF!</f>
        <v>#REF!</v>
      </c>
      <c r="I48" s="216" t="e">
        <f>'10.Grain Production details.'!#REF!</f>
        <v>#REF!</v>
      </c>
    </row>
    <row r="49" spans="1:9" x14ac:dyDescent="0.2">
      <c r="A49" s="83" t="e">
        <f>'10.Grain Production details.'!#REF!</f>
        <v>#REF!</v>
      </c>
      <c r="B49" s="167"/>
      <c r="C49" s="216" t="e">
        <f>'10.Grain Production details.'!#REF!</f>
        <v>#REF!</v>
      </c>
      <c r="D49" s="216" t="e">
        <f>'10.Grain Production details.'!#REF!</f>
        <v>#REF!</v>
      </c>
      <c r="E49" s="216" t="e">
        <f>'10.Grain Production details.'!#REF!</f>
        <v>#REF!</v>
      </c>
      <c r="F49" s="216" t="e">
        <f>'10.Grain Production details.'!#REF!</f>
        <v>#REF!</v>
      </c>
      <c r="G49" s="216" t="e">
        <f>'10.Grain Production details.'!#REF!</f>
        <v>#REF!</v>
      </c>
      <c r="H49" s="216" t="e">
        <f>'10.Grain Production details.'!#REF!</f>
        <v>#REF!</v>
      </c>
      <c r="I49" s="216" t="e">
        <f>'10.Grain Production details.'!#REF!</f>
        <v>#REF!</v>
      </c>
    </row>
    <row r="50" spans="1:9" x14ac:dyDescent="0.2">
      <c r="A50" s="83" t="e">
        <f>'10.Grain Production details.'!#REF!</f>
        <v>#REF!</v>
      </c>
      <c r="B50" s="167"/>
      <c r="C50" s="216" t="e">
        <f>'10.Grain Production details.'!#REF!</f>
        <v>#REF!</v>
      </c>
      <c r="D50" s="216" t="e">
        <f>'10.Grain Production details.'!#REF!</f>
        <v>#REF!</v>
      </c>
      <c r="E50" s="216" t="e">
        <f>'10.Grain Production details.'!#REF!</f>
        <v>#REF!</v>
      </c>
      <c r="F50" s="216" t="e">
        <f>'10.Grain Production details.'!#REF!</f>
        <v>#REF!</v>
      </c>
      <c r="G50" s="216" t="e">
        <f>'10.Grain Production details.'!#REF!</f>
        <v>#REF!</v>
      </c>
      <c r="H50" s="216" t="e">
        <f>'10.Grain Production details.'!#REF!</f>
        <v>#REF!</v>
      </c>
      <c r="I50" s="216" t="e">
        <f>'10.Grain Production details.'!#REF!</f>
        <v>#REF!</v>
      </c>
    </row>
    <row r="51" spans="1:9" x14ac:dyDescent="0.2">
      <c r="A51" s="83" t="e">
        <f>'10.Grain Production details.'!#REF!</f>
        <v>#REF!</v>
      </c>
      <c r="B51" s="167"/>
      <c r="C51" s="216" t="e">
        <f>'10.Grain Production details.'!#REF!</f>
        <v>#REF!</v>
      </c>
      <c r="D51" s="216" t="e">
        <f>'10.Grain Production details.'!#REF!</f>
        <v>#REF!</v>
      </c>
      <c r="E51" s="216" t="e">
        <f>'10.Grain Production details.'!#REF!</f>
        <v>#REF!</v>
      </c>
      <c r="F51" s="216" t="e">
        <f>'10.Grain Production details.'!#REF!</f>
        <v>#REF!</v>
      </c>
      <c r="G51" s="216" t="e">
        <f>'10.Grain Production details.'!#REF!</f>
        <v>#REF!</v>
      </c>
      <c r="H51" s="216" t="e">
        <f>'10.Grain Production details.'!#REF!</f>
        <v>#REF!</v>
      </c>
      <c r="I51" s="216" t="e">
        <f>'10.Grain Production details.'!#REF!</f>
        <v>#REF!</v>
      </c>
    </row>
    <row r="52" spans="1:9" x14ac:dyDescent="0.2">
      <c r="A52" s="83" t="e">
        <f>'10.Grain Production details.'!#REF!</f>
        <v>#REF!</v>
      </c>
      <c r="B52" s="167"/>
      <c r="C52" s="216" t="e">
        <f>'10.Grain Production details.'!#REF!</f>
        <v>#REF!</v>
      </c>
      <c r="D52" s="216" t="e">
        <f>'10.Grain Production details.'!#REF!</f>
        <v>#REF!</v>
      </c>
      <c r="E52" s="216" t="e">
        <f>'10.Grain Production details.'!#REF!</f>
        <v>#REF!</v>
      </c>
      <c r="F52" s="216" t="e">
        <f>'10.Grain Production details.'!#REF!</f>
        <v>#REF!</v>
      </c>
      <c r="G52" s="216" t="e">
        <f>'10.Grain Production details.'!#REF!</f>
        <v>#REF!</v>
      </c>
      <c r="H52" s="216" t="e">
        <f>'10.Grain Production details.'!#REF!</f>
        <v>#REF!</v>
      </c>
      <c r="I52" s="216" t="e">
        <f>'10.Grain Production details.'!#REF!</f>
        <v>#REF!</v>
      </c>
    </row>
    <row r="53" spans="1:9" x14ac:dyDescent="0.2">
      <c r="A53" s="83" t="e">
        <f>'10.Grain Production details.'!#REF!</f>
        <v>#REF!</v>
      </c>
      <c r="B53" s="167"/>
      <c r="C53" s="216" t="e">
        <f>'10.Grain Production details.'!#REF!</f>
        <v>#REF!</v>
      </c>
      <c r="D53" s="216" t="e">
        <f>'10.Grain Production details.'!#REF!</f>
        <v>#REF!</v>
      </c>
      <c r="E53" s="216" t="e">
        <f>'10.Grain Production details.'!#REF!</f>
        <v>#REF!</v>
      </c>
      <c r="F53" s="216" t="e">
        <f>'10.Grain Production details.'!#REF!</f>
        <v>#REF!</v>
      </c>
      <c r="G53" s="216" t="e">
        <f>'10.Grain Production details.'!#REF!</f>
        <v>#REF!</v>
      </c>
      <c r="H53" s="216" t="e">
        <f>'10.Grain Production details.'!#REF!</f>
        <v>#REF!</v>
      </c>
      <c r="I53" s="216" t="e">
        <f>'10.Grain Production details.'!#REF!</f>
        <v>#REF!</v>
      </c>
    </row>
    <row r="54" spans="1:9" x14ac:dyDescent="0.2">
      <c r="A54" s="83" t="e">
        <f>'10.Grain Production details.'!#REF!</f>
        <v>#REF!</v>
      </c>
      <c r="B54" s="167"/>
      <c r="C54" s="216" t="e">
        <f>'10.Grain Production details.'!#REF!</f>
        <v>#REF!</v>
      </c>
      <c r="D54" s="216" t="e">
        <f>'10.Grain Production details.'!#REF!</f>
        <v>#REF!</v>
      </c>
      <c r="E54" s="216" t="e">
        <f>'10.Grain Production details.'!#REF!</f>
        <v>#REF!</v>
      </c>
      <c r="F54" s="216" t="e">
        <f>'10.Grain Production details.'!#REF!</f>
        <v>#REF!</v>
      </c>
      <c r="G54" s="216" t="e">
        <f>'10.Grain Production details.'!#REF!</f>
        <v>#REF!</v>
      </c>
      <c r="H54" s="216" t="e">
        <f>'10.Grain Production details.'!#REF!</f>
        <v>#REF!</v>
      </c>
      <c r="I54" s="216" t="e">
        <f>'10.Grain Production details.'!#REF!</f>
        <v>#REF!</v>
      </c>
    </row>
    <row r="55" spans="1:9" x14ac:dyDescent="0.2">
      <c r="A55" s="83" t="e">
        <f>'10.Grain Production details.'!#REF!</f>
        <v>#REF!</v>
      </c>
      <c r="B55" s="167"/>
      <c r="C55" s="216" t="e">
        <f>'10.Grain Production details.'!#REF!</f>
        <v>#REF!</v>
      </c>
      <c r="D55" s="216" t="e">
        <f>'10.Grain Production details.'!#REF!</f>
        <v>#REF!</v>
      </c>
      <c r="E55" s="216" t="e">
        <f>'10.Grain Production details.'!#REF!</f>
        <v>#REF!</v>
      </c>
      <c r="F55" s="216" t="e">
        <f>'10.Grain Production details.'!#REF!</f>
        <v>#REF!</v>
      </c>
      <c r="G55" s="216" t="e">
        <f>'10.Grain Production details.'!#REF!</f>
        <v>#REF!</v>
      </c>
      <c r="H55" s="216" t="e">
        <f>'10.Grain Production details.'!#REF!</f>
        <v>#REF!</v>
      </c>
      <c r="I55" s="216" t="e">
        <f>'10.Grain Production details.'!#REF!</f>
        <v>#REF!</v>
      </c>
    </row>
    <row r="56" spans="1:9" x14ac:dyDescent="0.2">
      <c r="A56" s="83" t="e">
        <f>'10.Grain Production details.'!#REF!</f>
        <v>#REF!</v>
      </c>
      <c r="B56" s="167"/>
      <c r="C56" s="216" t="e">
        <f>'10.Grain Production details.'!#REF!</f>
        <v>#REF!</v>
      </c>
      <c r="D56" s="216" t="e">
        <f>'10.Grain Production details.'!#REF!</f>
        <v>#REF!</v>
      </c>
      <c r="E56" s="216" t="e">
        <f>'10.Grain Production details.'!#REF!</f>
        <v>#REF!</v>
      </c>
      <c r="F56" s="216" t="e">
        <f>'10.Grain Production details.'!#REF!</f>
        <v>#REF!</v>
      </c>
      <c r="G56" s="216" t="e">
        <f>'10.Grain Production details.'!#REF!</f>
        <v>#REF!</v>
      </c>
      <c r="H56" s="216" t="e">
        <f>'10.Grain Production details.'!#REF!</f>
        <v>#REF!</v>
      </c>
      <c r="I56" s="216" t="e">
        <f>'10.Grain Production details.'!#REF!</f>
        <v>#REF!</v>
      </c>
    </row>
    <row r="57" spans="1:9" x14ac:dyDescent="0.2">
      <c r="A57" s="83" t="e">
        <f>'10.Grain Production details.'!#REF!</f>
        <v>#REF!</v>
      </c>
      <c r="B57" s="167"/>
      <c r="C57" s="216" t="e">
        <f>'10.Grain Production details.'!#REF!</f>
        <v>#REF!</v>
      </c>
      <c r="D57" s="216" t="e">
        <f>'10.Grain Production details.'!#REF!</f>
        <v>#REF!</v>
      </c>
      <c r="E57" s="216" t="e">
        <f>'10.Grain Production details.'!#REF!</f>
        <v>#REF!</v>
      </c>
      <c r="F57" s="216" t="e">
        <f>'10.Grain Production details.'!#REF!</f>
        <v>#REF!</v>
      </c>
      <c r="G57" s="216" t="e">
        <f>'10.Grain Production details.'!#REF!</f>
        <v>#REF!</v>
      </c>
      <c r="H57" s="216" t="e">
        <f>'10.Grain Production details.'!#REF!</f>
        <v>#REF!</v>
      </c>
      <c r="I57" s="216" t="e">
        <f>'10.Grain Production details.'!#REF!</f>
        <v>#REF!</v>
      </c>
    </row>
    <row r="58" spans="1:9" x14ac:dyDescent="0.2">
      <c r="A58" s="83"/>
      <c r="B58" s="167"/>
      <c r="C58" s="167"/>
      <c r="D58" s="167"/>
      <c r="E58" s="167"/>
      <c r="F58" s="167"/>
      <c r="G58" s="167"/>
      <c r="H58" s="167"/>
      <c r="I58" s="167"/>
    </row>
    <row r="59" spans="1:9" x14ac:dyDescent="0.2">
      <c r="A59" s="85" t="s">
        <v>177</v>
      </c>
      <c r="B59" s="83"/>
      <c r="C59" s="83"/>
      <c r="D59" s="83"/>
      <c r="E59" s="83"/>
      <c r="F59" s="83"/>
      <c r="G59" s="83"/>
      <c r="H59" s="83"/>
      <c r="I59" s="83"/>
    </row>
    <row r="60" spans="1:9" x14ac:dyDescent="0.2">
      <c r="A60" s="85" t="s">
        <v>178</v>
      </c>
      <c r="B60" s="83"/>
      <c r="C60" s="83"/>
      <c r="D60" s="83"/>
      <c r="E60" s="83"/>
      <c r="F60" s="83"/>
      <c r="G60" s="83"/>
      <c r="H60" s="83"/>
      <c r="I60" s="83"/>
    </row>
    <row r="61" spans="1:9" x14ac:dyDescent="0.2">
      <c r="A61" s="85" t="str">
        <f t="shared" ref="A61:A92" si="0">A8</f>
        <v>Kharif Crops</v>
      </c>
      <c r="B61" s="83"/>
      <c r="C61" s="83"/>
      <c r="D61" s="83"/>
      <c r="E61" s="83"/>
      <c r="F61" s="83"/>
      <c r="G61" s="83"/>
      <c r="H61" s="83"/>
      <c r="I61" s="83"/>
    </row>
    <row r="62" spans="1:9" x14ac:dyDescent="0.2">
      <c r="A62" s="83">
        <f t="shared" si="0"/>
        <v>0</v>
      </c>
      <c r="B62" s="192">
        <v>40</v>
      </c>
      <c r="C62" s="168">
        <f>$B62*C9</f>
        <v>0</v>
      </c>
      <c r="D62" s="168">
        <f>$B62*D9</f>
        <v>0</v>
      </c>
      <c r="E62" s="168">
        <f t="shared" ref="E62:I62" si="1">$B62*E9</f>
        <v>0</v>
      </c>
      <c r="F62" s="168">
        <f t="shared" si="1"/>
        <v>0</v>
      </c>
      <c r="G62" s="168">
        <f t="shared" si="1"/>
        <v>0</v>
      </c>
      <c r="H62" s="168">
        <f t="shared" si="1"/>
        <v>0</v>
      </c>
      <c r="I62" s="168">
        <f t="shared" si="1"/>
        <v>0</v>
      </c>
    </row>
    <row r="63" spans="1:9" x14ac:dyDescent="0.2">
      <c r="A63" s="83">
        <f t="shared" si="0"/>
        <v>0</v>
      </c>
      <c r="B63" s="192">
        <v>5</v>
      </c>
      <c r="C63" s="168">
        <f>$B63*C10</f>
        <v>0</v>
      </c>
      <c r="D63" s="168">
        <f t="shared" ref="D63:I63" si="2">$B$63*D10</f>
        <v>0</v>
      </c>
      <c r="E63" s="168">
        <f t="shared" si="2"/>
        <v>0</v>
      </c>
      <c r="F63" s="168">
        <f t="shared" si="2"/>
        <v>0</v>
      </c>
      <c r="G63" s="168">
        <f t="shared" si="2"/>
        <v>0</v>
      </c>
      <c r="H63" s="168">
        <f t="shared" si="2"/>
        <v>0</v>
      </c>
      <c r="I63" s="168">
        <f t="shared" si="2"/>
        <v>0</v>
      </c>
    </row>
    <row r="64" spans="1:9" x14ac:dyDescent="0.2">
      <c r="A64" s="83">
        <f t="shared" si="0"/>
        <v>0</v>
      </c>
      <c r="B64" s="192">
        <v>15</v>
      </c>
      <c r="C64" s="168">
        <f>$B64*C11</f>
        <v>0</v>
      </c>
      <c r="D64" s="168">
        <f t="shared" ref="D64:I64" si="3">$B$64*D11</f>
        <v>0</v>
      </c>
      <c r="E64" s="168">
        <f t="shared" si="3"/>
        <v>0</v>
      </c>
      <c r="F64" s="168">
        <f t="shared" si="3"/>
        <v>0</v>
      </c>
      <c r="G64" s="168">
        <f t="shared" si="3"/>
        <v>0</v>
      </c>
      <c r="H64" s="168">
        <f t="shared" si="3"/>
        <v>0</v>
      </c>
      <c r="I64" s="168">
        <f t="shared" si="3"/>
        <v>0</v>
      </c>
    </row>
    <row r="65" spans="1:9" x14ac:dyDescent="0.2">
      <c r="A65" s="83" t="str">
        <f t="shared" si="0"/>
        <v>Pomegranate</v>
      </c>
      <c r="B65" s="192">
        <v>15</v>
      </c>
      <c r="C65" s="168">
        <f>$B65*C12</f>
        <v>0</v>
      </c>
      <c r="D65" s="168">
        <f t="shared" ref="D65:I67" si="4">$B65*D12</f>
        <v>0</v>
      </c>
      <c r="E65" s="168">
        <f t="shared" si="4"/>
        <v>0</v>
      </c>
      <c r="F65" s="168">
        <f t="shared" si="4"/>
        <v>0</v>
      </c>
      <c r="G65" s="168">
        <f t="shared" si="4"/>
        <v>0</v>
      </c>
      <c r="H65" s="168">
        <f t="shared" si="4"/>
        <v>0</v>
      </c>
      <c r="I65" s="168">
        <f t="shared" si="4"/>
        <v>0</v>
      </c>
    </row>
    <row r="66" spans="1:9" x14ac:dyDescent="0.2">
      <c r="A66" s="83" t="str">
        <f t="shared" si="0"/>
        <v>Custard Apple</v>
      </c>
      <c r="B66" s="192">
        <v>25</v>
      </c>
      <c r="C66" s="168">
        <f>$B66*C13</f>
        <v>0</v>
      </c>
      <c r="D66" s="168">
        <f t="shared" si="4"/>
        <v>0</v>
      </c>
      <c r="E66" s="168">
        <f t="shared" si="4"/>
        <v>0</v>
      </c>
      <c r="F66" s="168">
        <f t="shared" si="4"/>
        <v>0</v>
      </c>
      <c r="G66" s="168">
        <f t="shared" si="4"/>
        <v>0</v>
      </c>
      <c r="H66" s="168">
        <f t="shared" si="4"/>
        <v>0</v>
      </c>
      <c r="I66" s="168">
        <f t="shared" si="4"/>
        <v>0</v>
      </c>
    </row>
    <row r="67" spans="1:9" x14ac:dyDescent="0.2">
      <c r="A67" s="83" t="str">
        <f t="shared" si="0"/>
        <v>Guava</v>
      </c>
      <c r="B67" s="192">
        <v>15</v>
      </c>
      <c r="C67" s="168">
        <f>$B67*C14</f>
        <v>0</v>
      </c>
      <c r="D67" s="168">
        <f t="shared" si="4"/>
        <v>0</v>
      </c>
      <c r="E67" s="168">
        <f t="shared" si="4"/>
        <v>0</v>
      </c>
      <c r="F67" s="168">
        <f t="shared" si="4"/>
        <v>0</v>
      </c>
      <c r="G67" s="168">
        <f t="shared" si="4"/>
        <v>0</v>
      </c>
      <c r="H67" s="168">
        <f t="shared" si="4"/>
        <v>0</v>
      </c>
      <c r="I67" s="168">
        <f t="shared" si="4"/>
        <v>0</v>
      </c>
    </row>
    <row r="68" spans="1:9" x14ac:dyDescent="0.2">
      <c r="A68" s="83" t="str">
        <f t="shared" si="0"/>
        <v>Citrus</v>
      </c>
      <c r="B68" s="192">
        <v>5</v>
      </c>
      <c r="C68" s="168">
        <f t="shared" ref="C68:I68" si="5">$B68*C15</f>
        <v>0</v>
      </c>
      <c r="D68" s="168">
        <f t="shared" si="5"/>
        <v>0</v>
      </c>
      <c r="E68" s="168">
        <f t="shared" si="5"/>
        <v>0</v>
      </c>
      <c r="F68" s="168">
        <f t="shared" si="5"/>
        <v>0</v>
      </c>
      <c r="G68" s="168">
        <f t="shared" si="5"/>
        <v>0</v>
      </c>
      <c r="H68" s="168">
        <f t="shared" si="5"/>
        <v>0</v>
      </c>
      <c r="I68" s="168">
        <f t="shared" si="5"/>
        <v>0</v>
      </c>
    </row>
    <row r="69" spans="1:9" x14ac:dyDescent="0.2">
      <c r="A69" s="83" t="str">
        <f t="shared" si="0"/>
        <v>11.5 Crop-wise Area Considered for Agri Input Service Centre</v>
      </c>
      <c r="B69" s="192">
        <v>5</v>
      </c>
      <c r="C69" s="168">
        <f t="shared" ref="C69:I69" si="6">$B69*C16</f>
        <v>0</v>
      </c>
      <c r="D69" s="168">
        <f t="shared" si="6"/>
        <v>0</v>
      </c>
      <c r="E69" s="168">
        <f t="shared" si="6"/>
        <v>0</v>
      </c>
      <c r="F69" s="168">
        <f t="shared" si="6"/>
        <v>0</v>
      </c>
      <c r="G69" s="168">
        <f t="shared" si="6"/>
        <v>0</v>
      </c>
      <c r="H69" s="168">
        <f t="shared" si="6"/>
        <v>0</v>
      </c>
      <c r="I69" s="168">
        <f t="shared" si="6"/>
        <v>0</v>
      </c>
    </row>
    <row r="70" spans="1:9" x14ac:dyDescent="0.2">
      <c r="A70" s="85" t="str">
        <f t="shared" si="0"/>
        <v>Rabi Crop</v>
      </c>
      <c r="B70" s="192"/>
      <c r="C70" s="168"/>
      <c r="D70" s="168"/>
      <c r="E70" s="168"/>
      <c r="F70" s="168"/>
      <c r="G70" s="168"/>
      <c r="H70" s="168"/>
      <c r="I70" s="168"/>
    </row>
    <row r="71" spans="1:9" x14ac:dyDescent="0.2">
      <c r="A71" s="83">
        <f t="shared" si="0"/>
        <v>0</v>
      </c>
      <c r="B71" s="192">
        <v>20</v>
      </c>
      <c r="C71" s="168" t="e">
        <f t="shared" ref="C71:I71" si="7">$B71*C18</f>
        <v>#VALUE!</v>
      </c>
      <c r="D71" s="168" t="e">
        <f t="shared" si="7"/>
        <v>#VALUE!</v>
      </c>
      <c r="E71" s="168" t="e">
        <f t="shared" si="7"/>
        <v>#VALUE!</v>
      </c>
      <c r="F71" s="168" t="e">
        <f t="shared" si="7"/>
        <v>#VALUE!</v>
      </c>
      <c r="G71" s="168" t="e">
        <f t="shared" si="7"/>
        <v>#VALUE!</v>
      </c>
      <c r="H71" s="168" t="e">
        <f t="shared" si="7"/>
        <v>#VALUE!</v>
      </c>
      <c r="I71" s="168" t="e">
        <f t="shared" si="7"/>
        <v>#VALUE!</v>
      </c>
    </row>
    <row r="72" spans="1:9" x14ac:dyDescent="0.2">
      <c r="A72" s="83" t="str">
        <f t="shared" si="0"/>
        <v>Onion</v>
      </c>
      <c r="B72" s="192">
        <v>25</v>
      </c>
      <c r="C72" s="168">
        <f t="shared" ref="C72:I72" si="8">$B72*C19</f>
        <v>0</v>
      </c>
      <c r="D72" s="168">
        <f t="shared" si="8"/>
        <v>0</v>
      </c>
      <c r="E72" s="168">
        <f t="shared" si="8"/>
        <v>0</v>
      </c>
      <c r="F72" s="168">
        <f t="shared" si="8"/>
        <v>0</v>
      </c>
      <c r="G72" s="168">
        <f t="shared" si="8"/>
        <v>0</v>
      </c>
      <c r="H72" s="168">
        <f t="shared" si="8"/>
        <v>0</v>
      </c>
      <c r="I72" s="168">
        <f t="shared" si="8"/>
        <v>0</v>
      </c>
    </row>
    <row r="73" spans="1:9" x14ac:dyDescent="0.2">
      <c r="A73" s="83" t="str">
        <f t="shared" si="0"/>
        <v>Tomato</v>
      </c>
      <c r="B73" s="192">
        <v>5</v>
      </c>
      <c r="C73" s="168">
        <f t="shared" ref="C73:I73" si="9">$B73*C20</f>
        <v>0</v>
      </c>
      <c r="D73" s="168">
        <f t="shared" si="9"/>
        <v>0</v>
      </c>
      <c r="E73" s="168">
        <f t="shared" si="9"/>
        <v>0</v>
      </c>
      <c r="F73" s="168">
        <f t="shared" si="9"/>
        <v>0</v>
      </c>
      <c r="G73" s="168">
        <f t="shared" si="9"/>
        <v>0</v>
      </c>
      <c r="H73" s="168">
        <f t="shared" si="9"/>
        <v>0</v>
      </c>
      <c r="I73" s="168">
        <f t="shared" si="9"/>
        <v>0</v>
      </c>
    </row>
    <row r="74" spans="1:9" x14ac:dyDescent="0.2">
      <c r="A74" s="83" t="str">
        <f t="shared" si="0"/>
        <v>Okra</v>
      </c>
      <c r="B74" s="192">
        <v>20</v>
      </c>
      <c r="C74" s="168">
        <f t="shared" ref="C74:I74" si="10">$B74*C21</f>
        <v>0</v>
      </c>
      <c r="D74" s="168">
        <f t="shared" si="10"/>
        <v>0</v>
      </c>
      <c r="E74" s="168">
        <f t="shared" si="10"/>
        <v>0</v>
      </c>
      <c r="F74" s="168">
        <f t="shared" si="10"/>
        <v>0</v>
      </c>
      <c r="G74" s="168">
        <f t="shared" si="10"/>
        <v>0</v>
      </c>
      <c r="H74" s="168">
        <f t="shared" si="10"/>
        <v>0</v>
      </c>
      <c r="I74" s="168">
        <f t="shared" si="10"/>
        <v>0</v>
      </c>
    </row>
    <row r="75" spans="1:9" x14ac:dyDescent="0.2">
      <c r="A75" s="83" t="str">
        <f t="shared" si="0"/>
        <v>Chilli</v>
      </c>
      <c r="B75" s="192"/>
      <c r="C75" s="168">
        <f t="shared" ref="C75:I75" si="11">$B75*C22</f>
        <v>0</v>
      </c>
      <c r="D75" s="168">
        <f t="shared" si="11"/>
        <v>0</v>
      </c>
      <c r="E75" s="168">
        <f t="shared" si="11"/>
        <v>0</v>
      </c>
      <c r="F75" s="168">
        <f t="shared" si="11"/>
        <v>0</v>
      </c>
      <c r="G75" s="168">
        <f t="shared" si="11"/>
        <v>0</v>
      </c>
      <c r="H75" s="168">
        <f t="shared" si="11"/>
        <v>0</v>
      </c>
      <c r="I75" s="168">
        <f t="shared" si="11"/>
        <v>0</v>
      </c>
    </row>
    <row r="76" spans="1:9" x14ac:dyDescent="0.2">
      <c r="A76" s="83" t="str">
        <f t="shared" si="0"/>
        <v>Potato</v>
      </c>
      <c r="B76" s="192"/>
      <c r="C76" s="168">
        <f t="shared" ref="C76:I76" si="12">$B76*C23</f>
        <v>0</v>
      </c>
      <c r="D76" s="168">
        <f t="shared" si="12"/>
        <v>0</v>
      </c>
      <c r="E76" s="168">
        <f t="shared" si="12"/>
        <v>0</v>
      </c>
      <c r="F76" s="168">
        <f t="shared" si="12"/>
        <v>0</v>
      </c>
      <c r="G76" s="168">
        <f t="shared" si="12"/>
        <v>0</v>
      </c>
      <c r="H76" s="168">
        <f t="shared" si="12"/>
        <v>0</v>
      </c>
      <c r="I76" s="168">
        <f t="shared" si="12"/>
        <v>0</v>
      </c>
    </row>
    <row r="77" spans="1:9" x14ac:dyDescent="0.2">
      <c r="A77" s="83">
        <f t="shared" si="0"/>
        <v>0</v>
      </c>
      <c r="B77" s="192"/>
      <c r="C77" s="168">
        <f t="shared" ref="C77:I77" si="13">$B77*C24</f>
        <v>0</v>
      </c>
      <c r="D77" s="168">
        <f t="shared" si="13"/>
        <v>0</v>
      </c>
      <c r="E77" s="168">
        <f t="shared" si="13"/>
        <v>0</v>
      </c>
      <c r="F77" s="168">
        <f t="shared" si="13"/>
        <v>0</v>
      </c>
      <c r="G77" s="168">
        <f t="shared" si="13"/>
        <v>0</v>
      </c>
      <c r="H77" s="168">
        <f t="shared" si="13"/>
        <v>0</v>
      </c>
      <c r="I77" s="168">
        <f t="shared" si="13"/>
        <v>0</v>
      </c>
    </row>
    <row r="78" spans="1:9" x14ac:dyDescent="0.2">
      <c r="A78" s="83">
        <f t="shared" si="0"/>
        <v>0</v>
      </c>
      <c r="B78" s="192"/>
      <c r="C78" s="168">
        <f t="shared" ref="C78:I78" si="14">$B78*C25</f>
        <v>0</v>
      </c>
      <c r="D78" s="168">
        <f t="shared" si="14"/>
        <v>0</v>
      </c>
      <c r="E78" s="168">
        <f t="shared" si="14"/>
        <v>0</v>
      </c>
      <c r="F78" s="168">
        <f t="shared" si="14"/>
        <v>0</v>
      </c>
      <c r="G78" s="168">
        <f t="shared" si="14"/>
        <v>0</v>
      </c>
      <c r="H78" s="168">
        <f t="shared" si="14"/>
        <v>0</v>
      </c>
      <c r="I78" s="168">
        <f t="shared" si="14"/>
        <v>0</v>
      </c>
    </row>
    <row r="79" spans="1:9" x14ac:dyDescent="0.2">
      <c r="A79" s="85" t="str">
        <f t="shared" si="0"/>
        <v>Summer</v>
      </c>
      <c r="B79" s="192"/>
      <c r="C79" s="168"/>
      <c r="D79" s="168"/>
      <c r="E79" s="168"/>
      <c r="F79" s="168"/>
      <c r="G79" s="168"/>
      <c r="H79" s="168"/>
      <c r="I79" s="168"/>
    </row>
    <row r="80" spans="1:9" x14ac:dyDescent="0.2">
      <c r="A80" s="83">
        <f t="shared" si="0"/>
        <v>0</v>
      </c>
      <c r="B80" s="192"/>
      <c r="C80" s="168">
        <f t="shared" ref="C80:I80" si="15">$B80*C27</f>
        <v>0</v>
      </c>
      <c r="D80" s="168">
        <f t="shared" si="15"/>
        <v>0</v>
      </c>
      <c r="E80" s="168">
        <f t="shared" si="15"/>
        <v>0</v>
      </c>
      <c r="F80" s="168">
        <f t="shared" si="15"/>
        <v>0</v>
      </c>
      <c r="G80" s="168">
        <f t="shared" si="15"/>
        <v>0</v>
      </c>
      <c r="H80" s="168">
        <f t="shared" si="15"/>
        <v>0</v>
      </c>
      <c r="I80" s="168">
        <f t="shared" si="15"/>
        <v>0</v>
      </c>
    </row>
    <row r="81" spans="1:9" x14ac:dyDescent="0.2">
      <c r="A81" s="83">
        <f t="shared" si="0"/>
        <v>0</v>
      </c>
      <c r="B81" s="192"/>
      <c r="C81" s="168">
        <f t="shared" ref="C81:I81" si="16">$B81*C28</f>
        <v>0</v>
      </c>
      <c r="D81" s="168">
        <f t="shared" si="16"/>
        <v>0</v>
      </c>
      <c r="E81" s="168">
        <f t="shared" si="16"/>
        <v>0</v>
      </c>
      <c r="F81" s="168">
        <f t="shared" si="16"/>
        <v>0</v>
      </c>
      <c r="G81" s="168">
        <f t="shared" si="16"/>
        <v>0</v>
      </c>
      <c r="H81" s="168">
        <f t="shared" si="16"/>
        <v>0</v>
      </c>
      <c r="I81" s="168">
        <f t="shared" si="16"/>
        <v>0</v>
      </c>
    </row>
    <row r="82" spans="1:9" x14ac:dyDescent="0.2">
      <c r="A82" s="83" t="str">
        <f t="shared" si="0"/>
        <v>Onion</v>
      </c>
      <c r="B82" s="192"/>
      <c r="C82" s="168">
        <f t="shared" ref="C82:I82" si="17">$B82*C29</f>
        <v>0</v>
      </c>
      <c r="D82" s="168">
        <f t="shared" si="17"/>
        <v>0</v>
      </c>
      <c r="E82" s="168">
        <f t="shared" si="17"/>
        <v>0</v>
      </c>
      <c r="F82" s="168">
        <f t="shared" si="17"/>
        <v>0</v>
      </c>
      <c r="G82" s="168">
        <f t="shared" si="17"/>
        <v>0</v>
      </c>
      <c r="H82" s="168">
        <f t="shared" si="17"/>
        <v>0</v>
      </c>
      <c r="I82" s="168">
        <f t="shared" si="17"/>
        <v>0</v>
      </c>
    </row>
    <row r="83" spans="1:9" x14ac:dyDescent="0.2">
      <c r="A83" s="83" t="str">
        <f t="shared" si="0"/>
        <v>Tomato</v>
      </c>
      <c r="B83" s="192"/>
      <c r="C83" s="168">
        <f t="shared" ref="C83:I83" si="18">$B83*C30</f>
        <v>0</v>
      </c>
      <c r="D83" s="168">
        <f t="shared" si="18"/>
        <v>0</v>
      </c>
      <c r="E83" s="168">
        <f t="shared" si="18"/>
        <v>0</v>
      </c>
      <c r="F83" s="168">
        <f t="shared" si="18"/>
        <v>0</v>
      </c>
      <c r="G83" s="168">
        <f t="shared" si="18"/>
        <v>0</v>
      </c>
      <c r="H83" s="168">
        <f t="shared" si="18"/>
        <v>0</v>
      </c>
      <c r="I83" s="168">
        <f t="shared" si="18"/>
        <v>0</v>
      </c>
    </row>
    <row r="84" spans="1:9" x14ac:dyDescent="0.2">
      <c r="A84" s="83" t="str">
        <f t="shared" si="0"/>
        <v>Okra</v>
      </c>
      <c r="B84" s="192"/>
      <c r="C84" s="168">
        <f t="shared" ref="C84:I84" si="19">$B84*C31</f>
        <v>0</v>
      </c>
      <c r="D84" s="168">
        <f t="shared" si="19"/>
        <v>0</v>
      </c>
      <c r="E84" s="168">
        <f t="shared" si="19"/>
        <v>0</v>
      </c>
      <c r="F84" s="168">
        <f t="shared" si="19"/>
        <v>0</v>
      </c>
      <c r="G84" s="168">
        <f t="shared" si="19"/>
        <v>0</v>
      </c>
      <c r="H84" s="168">
        <f t="shared" si="19"/>
        <v>0</v>
      </c>
      <c r="I84" s="168">
        <f t="shared" si="19"/>
        <v>0</v>
      </c>
    </row>
    <row r="85" spans="1:9" x14ac:dyDescent="0.2">
      <c r="A85" s="85" t="str">
        <f t="shared" si="0"/>
        <v>10 Grain Crop Production Details</v>
      </c>
      <c r="B85" s="192"/>
      <c r="C85" s="168"/>
      <c r="D85" s="168"/>
      <c r="E85" s="168"/>
      <c r="F85" s="168"/>
      <c r="G85" s="168"/>
      <c r="H85" s="168"/>
      <c r="I85" s="168"/>
    </row>
    <row r="86" spans="1:9" x14ac:dyDescent="0.2">
      <c r="A86" s="83" t="str">
        <f t="shared" si="0"/>
        <v>Assumptions:</v>
      </c>
      <c r="B86" s="192"/>
      <c r="C86" s="168">
        <f t="shared" ref="C86:I86" si="20">$B86*C33</f>
        <v>0</v>
      </c>
      <c r="D86" s="168">
        <f t="shared" si="20"/>
        <v>0</v>
      </c>
      <c r="E86" s="168">
        <f t="shared" si="20"/>
        <v>0</v>
      </c>
      <c r="F86" s="168">
        <f t="shared" si="20"/>
        <v>0</v>
      </c>
      <c r="G86" s="168">
        <f t="shared" si="20"/>
        <v>0</v>
      </c>
      <c r="H86" s="168">
        <f t="shared" si="20"/>
        <v>0</v>
      </c>
      <c r="I86" s="168">
        <f t="shared" si="20"/>
        <v>0</v>
      </c>
    </row>
    <row r="87" spans="1:9" x14ac:dyDescent="0.2">
      <c r="A87" s="83" t="e">
        <f t="shared" si="0"/>
        <v>#REF!</v>
      </c>
      <c r="B87" s="192"/>
      <c r="C87" s="168" t="e">
        <f t="shared" ref="C87:I87" si="21">$B87*C34</f>
        <v>#REF!</v>
      </c>
      <c r="D87" s="168" t="e">
        <f t="shared" si="21"/>
        <v>#REF!</v>
      </c>
      <c r="E87" s="168" t="e">
        <f t="shared" si="21"/>
        <v>#REF!</v>
      </c>
      <c r="F87" s="168" t="e">
        <f t="shared" si="21"/>
        <v>#REF!</v>
      </c>
      <c r="G87" s="168" t="e">
        <f t="shared" si="21"/>
        <v>#REF!</v>
      </c>
      <c r="H87" s="168" t="e">
        <f t="shared" si="21"/>
        <v>#REF!</v>
      </c>
      <c r="I87" s="168" t="e">
        <f t="shared" si="21"/>
        <v>#REF!</v>
      </c>
    </row>
    <row r="88" spans="1:9" x14ac:dyDescent="0.2">
      <c r="A88" s="83" t="e">
        <f t="shared" si="0"/>
        <v>#REF!</v>
      </c>
      <c r="B88" s="192"/>
      <c r="C88" s="168" t="e">
        <f t="shared" ref="C88:I88" si="22">$B88*C35</f>
        <v>#REF!</v>
      </c>
      <c r="D88" s="168" t="e">
        <f t="shared" si="22"/>
        <v>#REF!</v>
      </c>
      <c r="E88" s="168" t="e">
        <f t="shared" si="22"/>
        <v>#REF!</v>
      </c>
      <c r="F88" s="168" t="e">
        <f t="shared" si="22"/>
        <v>#REF!</v>
      </c>
      <c r="G88" s="168" t="e">
        <f t="shared" si="22"/>
        <v>#REF!</v>
      </c>
      <c r="H88" s="168" t="e">
        <f t="shared" si="22"/>
        <v>#REF!</v>
      </c>
      <c r="I88" s="168" t="e">
        <f t="shared" si="22"/>
        <v>#REF!</v>
      </c>
    </row>
    <row r="89" spans="1:9" x14ac:dyDescent="0.2">
      <c r="A89" s="83">
        <f t="shared" si="0"/>
        <v>1</v>
      </c>
      <c r="B89" s="192"/>
      <c r="C89" s="168" t="e">
        <f t="shared" ref="C89:I89" si="23">$B89*C36</f>
        <v>#VALUE!</v>
      </c>
      <c r="D89" s="168">
        <f t="shared" si="23"/>
        <v>0</v>
      </c>
      <c r="E89" s="168">
        <f t="shared" si="23"/>
        <v>0</v>
      </c>
      <c r="F89" s="168">
        <f t="shared" si="23"/>
        <v>0</v>
      </c>
      <c r="G89" s="168">
        <f t="shared" si="23"/>
        <v>0</v>
      </c>
      <c r="H89" s="168">
        <f t="shared" si="23"/>
        <v>0</v>
      </c>
      <c r="I89" s="168">
        <f t="shared" si="23"/>
        <v>0</v>
      </c>
    </row>
    <row r="90" spans="1:9" x14ac:dyDescent="0.2">
      <c r="A90" s="83" t="e">
        <f t="shared" si="0"/>
        <v>#REF!</v>
      </c>
      <c r="B90" s="192"/>
      <c r="C90" s="168" t="e">
        <f t="shared" ref="C90:I90" si="24">$B90*C37</f>
        <v>#REF!</v>
      </c>
      <c r="D90" s="168" t="e">
        <f t="shared" si="24"/>
        <v>#REF!</v>
      </c>
      <c r="E90" s="168" t="e">
        <f t="shared" si="24"/>
        <v>#REF!</v>
      </c>
      <c r="F90" s="168" t="e">
        <f t="shared" si="24"/>
        <v>#REF!</v>
      </c>
      <c r="G90" s="168" t="e">
        <f t="shared" si="24"/>
        <v>#REF!</v>
      </c>
      <c r="H90" s="168" t="e">
        <f t="shared" si="24"/>
        <v>#REF!</v>
      </c>
      <c r="I90" s="168" t="e">
        <f t="shared" si="24"/>
        <v>#REF!</v>
      </c>
    </row>
    <row r="91" spans="1:9" x14ac:dyDescent="0.2">
      <c r="A91" s="83" t="e">
        <f t="shared" si="0"/>
        <v>#REF!</v>
      </c>
      <c r="B91" s="192"/>
      <c r="C91" s="168" t="e">
        <f t="shared" ref="C91:I91" si="25">$B91*C38</f>
        <v>#REF!</v>
      </c>
      <c r="D91" s="168" t="e">
        <f t="shared" si="25"/>
        <v>#REF!</v>
      </c>
      <c r="E91" s="168" t="e">
        <f t="shared" si="25"/>
        <v>#REF!</v>
      </c>
      <c r="F91" s="168" t="e">
        <f t="shared" si="25"/>
        <v>#REF!</v>
      </c>
      <c r="G91" s="168" t="e">
        <f t="shared" si="25"/>
        <v>#REF!</v>
      </c>
      <c r="H91" s="168" t="e">
        <f t="shared" si="25"/>
        <v>#REF!</v>
      </c>
      <c r="I91" s="168" t="e">
        <f t="shared" si="25"/>
        <v>#REF!</v>
      </c>
    </row>
    <row r="92" spans="1:9" x14ac:dyDescent="0.2">
      <c r="A92" s="83" t="e">
        <f t="shared" si="0"/>
        <v>#REF!</v>
      </c>
      <c r="B92" s="192"/>
      <c r="C92" s="168" t="e">
        <f t="shared" ref="C92:I92" si="26">$B92*C39</f>
        <v>#REF!</v>
      </c>
      <c r="D92" s="168" t="e">
        <f t="shared" si="26"/>
        <v>#REF!</v>
      </c>
      <c r="E92" s="168" t="e">
        <f t="shared" si="26"/>
        <v>#REF!</v>
      </c>
      <c r="F92" s="168" t="e">
        <f t="shared" si="26"/>
        <v>#REF!</v>
      </c>
      <c r="G92" s="168" t="e">
        <f t="shared" si="26"/>
        <v>#REF!</v>
      </c>
      <c r="H92" s="168" t="e">
        <f t="shared" si="26"/>
        <v>#REF!</v>
      </c>
      <c r="I92" s="168" t="e">
        <f t="shared" si="26"/>
        <v>#REF!</v>
      </c>
    </row>
    <row r="93" spans="1:9" x14ac:dyDescent="0.2">
      <c r="A93" s="83" t="e">
        <f t="shared" ref="A93:A110" si="27">A40</f>
        <v>#REF!</v>
      </c>
      <c r="B93" s="192"/>
      <c r="C93" s="168" t="e">
        <f t="shared" ref="C93:I93" si="28">$B93*C40</f>
        <v>#REF!</v>
      </c>
      <c r="D93" s="168" t="e">
        <f t="shared" si="28"/>
        <v>#REF!</v>
      </c>
      <c r="E93" s="168" t="e">
        <f t="shared" si="28"/>
        <v>#REF!</v>
      </c>
      <c r="F93" s="168" t="e">
        <f t="shared" si="28"/>
        <v>#REF!</v>
      </c>
      <c r="G93" s="168" t="e">
        <f t="shared" si="28"/>
        <v>#REF!</v>
      </c>
      <c r="H93" s="168" t="e">
        <f t="shared" si="28"/>
        <v>#REF!</v>
      </c>
      <c r="I93" s="168" t="e">
        <f t="shared" si="28"/>
        <v>#REF!</v>
      </c>
    </row>
    <row r="94" spans="1:9" x14ac:dyDescent="0.2">
      <c r="A94" s="83" t="e">
        <f t="shared" si="27"/>
        <v>#REF!</v>
      </c>
      <c r="B94" s="192"/>
      <c r="C94" s="168" t="e">
        <f t="shared" ref="C94:I94" si="29">$B94*C41</f>
        <v>#REF!</v>
      </c>
      <c r="D94" s="168" t="e">
        <f t="shared" si="29"/>
        <v>#REF!</v>
      </c>
      <c r="E94" s="168" t="e">
        <f t="shared" si="29"/>
        <v>#REF!</v>
      </c>
      <c r="F94" s="168" t="e">
        <f t="shared" si="29"/>
        <v>#REF!</v>
      </c>
      <c r="G94" s="168" t="e">
        <f t="shared" si="29"/>
        <v>#REF!</v>
      </c>
      <c r="H94" s="168" t="e">
        <f t="shared" si="29"/>
        <v>#REF!</v>
      </c>
      <c r="I94" s="168" t="e">
        <f t="shared" si="29"/>
        <v>#REF!</v>
      </c>
    </row>
    <row r="95" spans="1:9" x14ac:dyDescent="0.2">
      <c r="A95" s="83" t="e">
        <f t="shared" si="27"/>
        <v>#REF!</v>
      </c>
      <c r="B95" s="192"/>
      <c r="C95" s="168" t="e">
        <f t="shared" ref="C95:I95" si="30">$B95*C42</f>
        <v>#REF!</v>
      </c>
      <c r="D95" s="168" t="e">
        <f t="shared" si="30"/>
        <v>#REF!</v>
      </c>
      <c r="E95" s="168" t="e">
        <f t="shared" si="30"/>
        <v>#REF!</v>
      </c>
      <c r="F95" s="168" t="e">
        <f t="shared" si="30"/>
        <v>#REF!</v>
      </c>
      <c r="G95" s="168" t="e">
        <f t="shared" si="30"/>
        <v>#REF!</v>
      </c>
      <c r="H95" s="168" t="e">
        <f t="shared" si="30"/>
        <v>#REF!</v>
      </c>
      <c r="I95" s="168" t="e">
        <f t="shared" si="30"/>
        <v>#REF!</v>
      </c>
    </row>
    <row r="96" spans="1:9" x14ac:dyDescent="0.2">
      <c r="A96" s="83" t="e">
        <f t="shared" si="27"/>
        <v>#REF!</v>
      </c>
      <c r="B96" s="192"/>
      <c r="C96" s="168" t="e">
        <f t="shared" ref="C96:I96" si="31">$B96*C43</f>
        <v>#REF!</v>
      </c>
      <c r="D96" s="168" t="e">
        <f t="shared" si="31"/>
        <v>#REF!</v>
      </c>
      <c r="E96" s="168" t="e">
        <f t="shared" si="31"/>
        <v>#REF!</v>
      </c>
      <c r="F96" s="168" t="e">
        <f t="shared" si="31"/>
        <v>#REF!</v>
      </c>
      <c r="G96" s="168" t="e">
        <f t="shared" si="31"/>
        <v>#REF!</v>
      </c>
      <c r="H96" s="168" t="e">
        <f t="shared" si="31"/>
        <v>#REF!</v>
      </c>
      <c r="I96" s="168" t="e">
        <f t="shared" si="31"/>
        <v>#REF!</v>
      </c>
    </row>
    <row r="97" spans="1:9" x14ac:dyDescent="0.2">
      <c r="A97" s="83" t="e">
        <f t="shared" si="27"/>
        <v>#REF!</v>
      </c>
      <c r="B97" s="192"/>
      <c r="C97" s="168" t="e">
        <f t="shared" ref="C97:I97" si="32">$B97*C44</f>
        <v>#REF!</v>
      </c>
      <c r="D97" s="168" t="e">
        <f t="shared" si="32"/>
        <v>#REF!</v>
      </c>
      <c r="E97" s="168" t="e">
        <f t="shared" si="32"/>
        <v>#REF!</v>
      </c>
      <c r="F97" s="168" t="e">
        <f t="shared" si="32"/>
        <v>#REF!</v>
      </c>
      <c r="G97" s="168" t="e">
        <f t="shared" si="32"/>
        <v>#REF!</v>
      </c>
      <c r="H97" s="168" t="e">
        <f t="shared" si="32"/>
        <v>#REF!</v>
      </c>
      <c r="I97" s="168" t="e">
        <f t="shared" si="32"/>
        <v>#REF!</v>
      </c>
    </row>
    <row r="98" spans="1:9" x14ac:dyDescent="0.2">
      <c r="A98" s="83" t="e">
        <f t="shared" si="27"/>
        <v>#REF!</v>
      </c>
      <c r="B98" s="192"/>
      <c r="C98" s="168" t="e">
        <f t="shared" ref="C98:I98" si="33">$B98*C45</f>
        <v>#REF!</v>
      </c>
      <c r="D98" s="168" t="e">
        <f t="shared" si="33"/>
        <v>#REF!</v>
      </c>
      <c r="E98" s="168" t="e">
        <f t="shared" si="33"/>
        <v>#REF!</v>
      </c>
      <c r="F98" s="168" t="e">
        <f t="shared" si="33"/>
        <v>#REF!</v>
      </c>
      <c r="G98" s="168" t="e">
        <f t="shared" si="33"/>
        <v>#REF!</v>
      </c>
      <c r="H98" s="168" t="e">
        <f t="shared" si="33"/>
        <v>#REF!</v>
      </c>
      <c r="I98" s="168" t="e">
        <f t="shared" si="33"/>
        <v>#REF!</v>
      </c>
    </row>
    <row r="99" spans="1:9" x14ac:dyDescent="0.2">
      <c r="A99" s="83" t="e">
        <f t="shared" si="27"/>
        <v>#REF!</v>
      </c>
      <c r="B99" s="192"/>
      <c r="C99" s="168" t="e">
        <f t="shared" ref="C99:I99" si="34">$B99*C46</f>
        <v>#REF!</v>
      </c>
      <c r="D99" s="168" t="e">
        <f t="shared" si="34"/>
        <v>#REF!</v>
      </c>
      <c r="E99" s="168" t="e">
        <f t="shared" si="34"/>
        <v>#REF!</v>
      </c>
      <c r="F99" s="168" t="e">
        <f t="shared" si="34"/>
        <v>#REF!</v>
      </c>
      <c r="G99" s="168" t="e">
        <f t="shared" si="34"/>
        <v>#REF!</v>
      </c>
      <c r="H99" s="168" t="e">
        <f t="shared" si="34"/>
        <v>#REF!</v>
      </c>
      <c r="I99" s="168" t="e">
        <f t="shared" si="34"/>
        <v>#REF!</v>
      </c>
    </row>
    <row r="100" spans="1:9" x14ac:dyDescent="0.2">
      <c r="A100" s="83" t="e">
        <f t="shared" si="27"/>
        <v>#REF!</v>
      </c>
      <c r="B100" s="192"/>
      <c r="C100" s="168" t="e">
        <f t="shared" ref="C100:I100" si="35">$B100*C47</f>
        <v>#REF!</v>
      </c>
      <c r="D100" s="168" t="e">
        <f t="shared" si="35"/>
        <v>#REF!</v>
      </c>
      <c r="E100" s="168" t="e">
        <f t="shared" si="35"/>
        <v>#REF!</v>
      </c>
      <c r="F100" s="168" t="e">
        <f t="shared" si="35"/>
        <v>#REF!</v>
      </c>
      <c r="G100" s="168" t="e">
        <f t="shared" si="35"/>
        <v>#REF!</v>
      </c>
      <c r="H100" s="168" t="e">
        <f t="shared" si="35"/>
        <v>#REF!</v>
      </c>
      <c r="I100" s="168" t="e">
        <f t="shared" si="35"/>
        <v>#REF!</v>
      </c>
    </row>
    <row r="101" spans="1:9" x14ac:dyDescent="0.2">
      <c r="A101" s="83" t="e">
        <f t="shared" si="27"/>
        <v>#REF!</v>
      </c>
      <c r="B101" s="192"/>
      <c r="C101" s="168" t="e">
        <f t="shared" ref="C101:I101" si="36">$B101*C48</f>
        <v>#REF!</v>
      </c>
      <c r="D101" s="168" t="e">
        <f t="shared" si="36"/>
        <v>#REF!</v>
      </c>
      <c r="E101" s="168" t="e">
        <f t="shared" si="36"/>
        <v>#REF!</v>
      </c>
      <c r="F101" s="168" t="e">
        <f t="shared" si="36"/>
        <v>#REF!</v>
      </c>
      <c r="G101" s="168" t="e">
        <f t="shared" si="36"/>
        <v>#REF!</v>
      </c>
      <c r="H101" s="168" t="e">
        <f t="shared" si="36"/>
        <v>#REF!</v>
      </c>
      <c r="I101" s="168" t="e">
        <f t="shared" si="36"/>
        <v>#REF!</v>
      </c>
    </row>
    <row r="102" spans="1:9" x14ac:dyDescent="0.2">
      <c r="A102" s="83" t="e">
        <f t="shared" si="27"/>
        <v>#REF!</v>
      </c>
      <c r="B102" s="192"/>
      <c r="C102" s="168" t="e">
        <f t="shared" ref="C102:I102" si="37">$B102*C49</f>
        <v>#REF!</v>
      </c>
      <c r="D102" s="168" t="e">
        <f t="shared" si="37"/>
        <v>#REF!</v>
      </c>
      <c r="E102" s="168" t="e">
        <f t="shared" si="37"/>
        <v>#REF!</v>
      </c>
      <c r="F102" s="168" t="e">
        <f t="shared" si="37"/>
        <v>#REF!</v>
      </c>
      <c r="G102" s="168" t="e">
        <f t="shared" si="37"/>
        <v>#REF!</v>
      </c>
      <c r="H102" s="168" t="e">
        <f t="shared" si="37"/>
        <v>#REF!</v>
      </c>
      <c r="I102" s="168" t="e">
        <f t="shared" si="37"/>
        <v>#REF!</v>
      </c>
    </row>
    <row r="103" spans="1:9" x14ac:dyDescent="0.2">
      <c r="A103" s="83" t="e">
        <f t="shared" si="27"/>
        <v>#REF!</v>
      </c>
      <c r="B103" s="192"/>
      <c r="C103" s="168" t="e">
        <f t="shared" ref="C103:I103" si="38">$B103*C50</f>
        <v>#REF!</v>
      </c>
      <c r="D103" s="168" t="e">
        <f t="shared" si="38"/>
        <v>#REF!</v>
      </c>
      <c r="E103" s="168" t="e">
        <f t="shared" si="38"/>
        <v>#REF!</v>
      </c>
      <c r="F103" s="168" t="e">
        <f t="shared" si="38"/>
        <v>#REF!</v>
      </c>
      <c r="G103" s="168" t="e">
        <f t="shared" si="38"/>
        <v>#REF!</v>
      </c>
      <c r="H103" s="168" t="e">
        <f t="shared" si="38"/>
        <v>#REF!</v>
      </c>
      <c r="I103" s="168" t="e">
        <f t="shared" si="38"/>
        <v>#REF!</v>
      </c>
    </row>
    <row r="104" spans="1:9" x14ac:dyDescent="0.2">
      <c r="A104" s="83" t="e">
        <f t="shared" si="27"/>
        <v>#REF!</v>
      </c>
      <c r="B104" s="192"/>
      <c r="C104" s="168" t="e">
        <f t="shared" ref="C104:I104" si="39">$B104*C51</f>
        <v>#REF!</v>
      </c>
      <c r="D104" s="168" t="e">
        <f t="shared" si="39"/>
        <v>#REF!</v>
      </c>
      <c r="E104" s="168" t="e">
        <f t="shared" si="39"/>
        <v>#REF!</v>
      </c>
      <c r="F104" s="168" t="e">
        <f t="shared" si="39"/>
        <v>#REF!</v>
      </c>
      <c r="G104" s="168" t="e">
        <f t="shared" si="39"/>
        <v>#REF!</v>
      </c>
      <c r="H104" s="168" t="e">
        <f t="shared" si="39"/>
        <v>#REF!</v>
      </c>
      <c r="I104" s="168" t="e">
        <f t="shared" si="39"/>
        <v>#REF!</v>
      </c>
    </row>
    <row r="105" spans="1:9" x14ac:dyDescent="0.2">
      <c r="A105" s="83" t="e">
        <f t="shared" si="27"/>
        <v>#REF!</v>
      </c>
      <c r="B105" s="192"/>
      <c r="C105" s="168" t="e">
        <f t="shared" ref="C105:I105" si="40">$B105*C52</f>
        <v>#REF!</v>
      </c>
      <c r="D105" s="168" t="e">
        <f t="shared" si="40"/>
        <v>#REF!</v>
      </c>
      <c r="E105" s="168" t="e">
        <f t="shared" si="40"/>
        <v>#REF!</v>
      </c>
      <c r="F105" s="168" t="e">
        <f t="shared" si="40"/>
        <v>#REF!</v>
      </c>
      <c r="G105" s="168" t="e">
        <f t="shared" si="40"/>
        <v>#REF!</v>
      </c>
      <c r="H105" s="168" t="e">
        <f t="shared" si="40"/>
        <v>#REF!</v>
      </c>
      <c r="I105" s="168" t="e">
        <f t="shared" si="40"/>
        <v>#REF!</v>
      </c>
    </row>
    <row r="106" spans="1:9" x14ac:dyDescent="0.2">
      <c r="A106" s="83" t="e">
        <f t="shared" si="27"/>
        <v>#REF!</v>
      </c>
      <c r="B106" s="192"/>
      <c r="C106" s="168" t="e">
        <f t="shared" ref="C106:I106" si="41">$B106*C53</f>
        <v>#REF!</v>
      </c>
      <c r="D106" s="168" t="e">
        <f t="shared" si="41"/>
        <v>#REF!</v>
      </c>
      <c r="E106" s="168" t="e">
        <f t="shared" si="41"/>
        <v>#REF!</v>
      </c>
      <c r="F106" s="168" t="e">
        <f t="shared" si="41"/>
        <v>#REF!</v>
      </c>
      <c r="G106" s="168" t="e">
        <f t="shared" si="41"/>
        <v>#REF!</v>
      </c>
      <c r="H106" s="168" t="e">
        <f t="shared" si="41"/>
        <v>#REF!</v>
      </c>
      <c r="I106" s="168" t="e">
        <f t="shared" si="41"/>
        <v>#REF!</v>
      </c>
    </row>
    <row r="107" spans="1:9" x14ac:dyDescent="0.2">
      <c r="A107" s="83" t="e">
        <f t="shared" si="27"/>
        <v>#REF!</v>
      </c>
      <c r="B107" s="192"/>
      <c r="C107" s="168" t="e">
        <f t="shared" ref="C107:I107" si="42">$B107*C54</f>
        <v>#REF!</v>
      </c>
      <c r="D107" s="168" t="e">
        <f t="shared" si="42"/>
        <v>#REF!</v>
      </c>
      <c r="E107" s="168" t="e">
        <f t="shared" si="42"/>
        <v>#REF!</v>
      </c>
      <c r="F107" s="168" t="e">
        <f t="shared" si="42"/>
        <v>#REF!</v>
      </c>
      <c r="G107" s="168" t="e">
        <f t="shared" si="42"/>
        <v>#REF!</v>
      </c>
      <c r="H107" s="168" t="e">
        <f t="shared" si="42"/>
        <v>#REF!</v>
      </c>
      <c r="I107" s="168" t="e">
        <f t="shared" si="42"/>
        <v>#REF!</v>
      </c>
    </row>
    <row r="108" spans="1:9" x14ac:dyDescent="0.2">
      <c r="A108" s="83" t="e">
        <f t="shared" si="27"/>
        <v>#REF!</v>
      </c>
      <c r="B108" s="192"/>
      <c r="C108" s="168" t="e">
        <f t="shared" ref="C108:I108" si="43">$B108*C55</f>
        <v>#REF!</v>
      </c>
      <c r="D108" s="168" t="e">
        <f t="shared" si="43"/>
        <v>#REF!</v>
      </c>
      <c r="E108" s="168" t="e">
        <f t="shared" si="43"/>
        <v>#REF!</v>
      </c>
      <c r="F108" s="168" t="e">
        <f t="shared" si="43"/>
        <v>#REF!</v>
      </c>
      <c r="G108" s="168" t="e">
        <f t="shared" si="43"/>
        <v>#REF!</v>
      </c>
      <c r="H108" s="168" t="e">
        <f t="shared" si="43"/>
        <v>#REF!</v>
      </c>
      <c r="I108" s="168" t="e">
        <f t="shared" si="43"/>
        <v>#REF!</v>
      </c>
    </row>
    <row r="109" spans="1:9" x14ac:dyDescent="0.2">
      <c r="A109" s="83" t="e">
        <f t="shared" si="27"/>
        <v>#REF!</v>
      </c>
      <c r="B109" s="192"/>
      <c r="C109" s="168" t="e">
        <f t="shared" ref="C109:I109" si="44">$B109*C56</f>
        <v>#REF!</v>
      </c>
      <c r="D109" s="168" t="e">
        <f t="shared" si="44"/>
        <v>#REF!</v>
      </c>
      <c r="E109" s="168" t="e">
        <f t="shared" si="44"/>
        <v>#REF!</v>
      </c>
      <c r="F109" s="168" t="e">
        <f t="shared" si="44"/>
        <v>#REF!</v>
      </c>
      <c r="G109" s="168" t="e">
        <f t="shared" si="44"/>
        <v>#REF!</v>
      </c>
      <c r="H109" s="168" t="e">
        <f t="shared" si="44"/>
        <v>#REF!</v>
      </c>
      <c r="I109" s="168" t="e">
        <f t="shared" si="44"/>
        <v>#REF!</v>
      </c>
    </row>
    <row r="110" spans="1:9" x14ac:dyDescent="0.2">
      <c r="A110" s="83" t="e">
        <f t="shared" si="27"/>
        <v>#REF!</v>
      </c>
      <c r="B110" s="192"/>
      <c r="C110" s="168" t="e">
        <f t="shared" ref="C110:I110" si="45">$B110*C57</f>
        <v>#REF!</v>
      </c>
      <c r="D110" s="168" t="e">
        <f t="shared" si="45"/>
        <v>#REF!</v>
      </c>
      <c r="E110" s="168" t="e">
        <f t="shared" si="45"/>
        <v>#REF!</v>
      </c>
      <c r="F110" s="168" t="e">
        <f t="shared" si="45"/>
        <v>#REF!</v>
      </c>
      <c r="G110" s="168" t="e">
        <f t="shared" si="45"/>
        <v>#REF!</v>
      </c>
      <c r="H110" s="168" t="e">
        <f t="shared" si="45"/>
        <v>#REF!</v>
      </c>
      <c r="I110" s="168" t="e">
        <f t="shared" si="45"/>
        <v>#REF!</v>
      </c>
    </row>
    <row r="111" spans="1:9" x14ac:dyDescent="0.2">
      <c r="A111" s="83"/>
      <c r="B111" s="192"/>
      <c r="C111" s="168"/>
      <c r="D111" s="168"/>
      <c r="E111" s="168"/>
      <c r="F111" s="168"/>
      <c r="G111" s="168"/>
      <c r="H111" s="168"/>
      <c r="I111" s="168"/>
    </row>
    <row r="112" spans="1:9" x14ac:dyDescent="0.2">
      <c r="A112" s="83"/>
      <c r="B112" s="192"/>
      <c r="C112" s="168"/>
      <c r="D112" s="168"/>
      <c r="E112" s="168"/>
      <c r="F112" s="168"/>
      <c r="G112" s="168"/>
      <c r="H112" s="168"/>
      <c r="I112" s="168"/>
    </row>
    <row r="113" spans="1:23" x14ac:dyDescent="0.2">
      <c r="A113" s="85" t="s">
        <v>179</v>
      </c>
      <c r="B113" s="83"/>
      <c r="C113" s="83"/>
      <c r="D113" s="83"/>
      <c r="E113" s="83"/>
      <c r="F113" s="83"/>
      <c r="G113" s="83"/>
      <c r="H113" s="83"/>
      <c r="I113" s="83"/>
    </row>
    <row r="114" spans="1:23" x14ac:dyDescent="0.2">
      <c r="A114" s="83" t="s">
        <v>389</v>
      </c>
      <c r="B114" s="192">
        <v>100</v>
      </c>
      <c r="C114" s="168" t="e">
        <f>SUM(C62:C110)*$B$114</f>
        <v>#VALUE!</v>
      </c>
      <c r="D114" s="168" t="e">
        <f t="shared" ref="D114:I114" si="46">SUM(D62:D110)*$B$114</f>
        <v>#VALUE!</v>
      </c>
      <c r="E114" s="168" t="e">
        <f t="shared" si="46"/>
        <v>#VALUE!</v>
      </c>
      <c r="F114" s="168" t="e">
        <f t="shared" si="46"/>
        <v>#VALUE!</v>
      </c>
      <c r="G114" s="168" t="e">
        <f t="shared" si="46"/>
        <v>#VALUE!</v>
      </c>
      <c r="H114" s="168" t="e">
        <f t="shared" si="46"/>
        <v>#VALUE!</v>
      </c>
      <c r="I114" s="168" t="e">
        <f t="shared" si="46"/>
        <v>#VALUE!</v>
      </c>
    </row>
    <row r="115" spans="1:23" x14ac:dyDescent="0.2">
      <c r="A115" s="83" t="s">
        <v>173</v>
      </c>
      <c r="B115" s="192">
        <v>30</v>
      </c>
      <c r="C115" s="168" t="e">
        <f>SUM(C62:C110)*$B$115</f>
        <v>#VALUE!</v>
      </c>
      <c r="D115" s="168" t="e">
        <f t="shared" ref="D115:I115" si="47">SUM(D62:D110)*$B$115</f>
        <v>#VALUE!</v>
      </c>
      <c r="E115" s="168" t="e">
        <f t="shared" si="47"/>
        <v>#VALUE!</v>
      </c>
      <c r="F115" s="168" t="e">
        <f t="shared" si="47"/>
        <v>#VALUE!</v>
      </c>
      <c r="G115" s="168" t="e">
        <f t="shared" si="47"/>
        <v>#VALUE!</v>
      </c>
      <c r="H115" s="168" t="e">
        <f t="shared" si="47"/>
        <v>#VALUE!</v>
      </c>
      <c r="I115" s="168" t="e">
        <f t="shared" si="47"/>
        <v>#VALUE!</v>
      </c>
    </row>
    <row r="116" spans="1:23" x14ac:dyDescent="0.2">
      <c r="A116" s="83" t="s">
        <v>175</v>
      </c>
      <c r="B116" s="192">
        <v>30</v>
      </c>
      <c r="C116" s="168" t="e">
        <f>SUM(C62:C110)*$B$116</f>
        <v>#VALUE!</v>
      </c>
      <c r="D116" s="168" t="e">
        <f t="shared" ref="D116:I116" si="48">SUM(D62:D110)*$B$116</f>
        <v>#VALUE!</v>
      </c>
      <c r="E116" s="168" t="e">
        <f t="shared" si="48"/>
        <v>#VALUE!</v>
      </c>
      <c r="F116" s="168" t="e">
        <f t="shared" si="48"/>
        <v>#VALUE!</v>
      </c>
      <c r="G116" s="168" t="e">
        <f t="shared" si="48"/>
        <v>#VALUE!</v>
      </c>
      <c r="H116" s="168" t="e">
        <f t="shared" si="48"/>
        <v>#VALUE!</v>
      </c>
      <c r="I116" s="168" t="e">
        <f t="shared" si="48"/>
        <v>#VALUE!</v>
      </c>
    </row>
    <row r="117" spans="1:23" x14ac:dyDescent="0.2">
      <c r="A117" s="85" t="s">
        <v>174</v>
      </c>
      <c r="B117" s="192"/>
      <c r="C117" s="83"/>
      <c r="D117" s="83"/>
      <c r="E117" s="83"/>
      <c r="F117" s="83"/>
      <c r="G117" s="83"/>
      <c r="H117" s="83"/>
      <c r="I117" s="83"/>
    </row>
    <row r="118" spans="1:23" x14ac:dyDescent="0.2">
      <c r="A118" s="83" t="s">
        <v>180</v>
      </c>
      <c r="B118" s="192">
        <v>0.2</v>
      </c>
      <c r="C118" s="168" t="e">
        <f>SUM(C62:C110)*$B$118</f>
        <v>#VALUE!</v>
      </c>
      <c r="D118" s="168" t="e">
        <f t="shared" ref="D118:I118" si="49">SUM(D62:D110)*$B$118</f>
        <v>#VALUE!</v>
      </c>
      <c r="E118" s="168" t="e">
        <f t="shared" si="49"/>
        <v>#VALUE!</v>
      </c>
      <c r="F118" s="168" t="e">
        <f t="shared" si="49"/>
        <v>#VALUE!</v>
      </c>
      <c r="G118" s="168" t="e">
        <f t="shared" si="49"/>
        <v>#VALUE!</v>
      </c>
      <c r="H118" s="168" t="e">
        <f t="shared" si="49"/>
        <v>#VALUE!</v>
      </c>
      <c r="I118" s="168" t="e">
        <f t="shared" si="49"/>
        <v>#VALUE!</v>
      </c>
    </row>
    <row r="119" spans="1:23" x14ac:dyDescent="0.2">
      <c r="A119" s="83" t="s">
        <v>181</v>
      </c>
      <c r="B119" s="192">
        <v>0.5</v>
      </c>
      <c r="C119" s="168" t="e">
        <f>SUM(C62:C110)*$B$119</f>
        <v>#VALUE!</v>
      </c>
      <c r="D119" s="168" t="e">
        <f t="shared" ref="D119:I119" si="50">SUM(D62:D110)*$B$119</f>
        <v>#VALUE!</v>
      </c>
      <c r="E119" s="168" t="e">
        <f t="shared" si="50"/>
        <v>#VALUE!</v>
      </c>
      <c r="F119" s="168" t="e">
        <f t="shared" si="50"/>
        <v>#VALUE!</v>
      </c>
      <c r="G119" s="168" t="e">
        <f t="shared" si="50"/>
        <v>#VALUE!</v>
      </c>
      <c r="H119" s="168" t="e">
        <f t="shared" si="50"/>
        <v>#VALUE!</v>
      </c>
      <c r="I119" s="168" t="e">
        <f t="shared" si="50"/>
        <v>#VALUE!</v>
      </c>
    </row>
    <row r="122" spans="1:23" ht="18" x14ac:dyDescent="0.2">
      <c r="A122" s="704" t="s">
        <v>538</v>
      </c>
      <c r="B122" s="704"/>
      <c r="C122" s="704"/>
      <c r="D122" s="704"/>
      <c r="E122" s="704"/>
      <c r="F122" s="704"/>
      <c r="G122" s="704"/>
      <c r="H122" s="704"/>
      <c r="I122" s="704"/>
      <c r="J122" s="704"/>
    </row>
    <row r="123" spans="1:23" x14ac:dyDescent="0.2">
      <c r="A123" s="29"/>
      <c r="B123" s="52"/>
      <c r="C123" s="29"/>
      <c r="D123" s="29"/>
      <c r="E123" s="29"/>
      <c r="F123" s="29"/>
      <c r="G123" s="29"/>
      <c r="H123" s="29"/>
    </row>
    <row r="124" spans="1:23" x14ac:dyDescent="0.2">
      <c r="A124" s="154"/>
      <c r="B124" s="154"/>
      <c r="C124" s="154"/>
      <c r="D124" s="155">
        <v>1</v>
      </c>
      <c r="E124" s="156">
        <f>(D124*5%)+D124</f>
        <v>1.05</v>
      </c>
      <c r="F124" s="156">
        <f t="shared" ref="F124:J124" si="51">(E124*5%)+E124</f>
        <v>1.1025</v>
      </c>
      <c r="G124" s="156">
        <f t="shared" si="51"/>
        <v>1.1576250000000001</v>
      </c>
      <c r="H124" s="156">
        <f t="shared" si="51"/>
        <v>1.2155062500000002</v>
      </c>
      <c r="I124" s="156">
        <f t="shared" si="51"/>
        <v>1.2762815625000004</v>
      </c>
      <c r="J124" s="156">
        <f t="shared" si="51"/>
        <v>1.3400956406250004</v>
      </c>
      <c r="K124" s="78"/>
      <c r="U124" s="78"/>
      <c r="V124" s="78"/>
      <c r="W124" s="78"/>
    </row>
    <row r="125" spans="1:23" x14ac:dyDescent="0.2">
      <c r="A125" s="78"/>
      <c r="B125" s="78"/>
      <c r="C125" s="78"/>
      <c r="D125" s="78"/>
      <c r="E125" s="78"/>
      <c r="F125" s="78"/>
      <c r="G125" s="78"/>
      <c r="H125" s="78"/>
      <c r="I125" s="78"/>
      <c r="J125" s="78"/>
      <c r="K125" s="78"/>
      <c r="U125" s="78"/>
      <c r="V125" s="78"/>
      <c r="W125" s="78"/>
    </row>
    <row r="126" spans="1:23" x14ac:dyDescent="0.2">
      <c r="A126" s="122" t="s">
        <v>0</v>
      </c>
      <c r="B126" s="122" t="s">
        <v>128</v>
      </c>
      <c r="C126" s="122" t="s">
        <v>148</v>
      </c>
      <c r="D126" s="102" t="s">
        <v>2</v>
      </c>
      <c r="E126" s="102" t="s">
        <v>3</v>
      </c>
      <c r="F126" s="102" t="s">
        <v>4</v>
      </c>
      <c r="G126" s="102" t="s">
        <v>5</v>
      </c>
      <c r="H126" s="102" t="s">
        <v>6</v>
      </c>
      <c r="I126" s="102" t="s">
        <v>163</v>
      </c>
      <c r="J126" s="102" t="s">
        <v>162</v>
      </c>
      <c r="K126" s="78"/>
      <c r="U126" s="78"/>
      <c r="V126" s="78"/>
      <c r="W126" s="78"/>
    </row>
    <row r="127" spans="1:23" x14ac:dyDescent="0.2">
      <c r="A127" s="81" t="s">
        <v>124</v>
      </c>
      <c r="B127" s="79"/>
      <c r="C127" s="79"/>
      <c r="D127" s="79"/>
      <c r="E127" s="79"/>
      <c r="F127" s="79"/>
      <c r="G127" s="79"/>
      <c r="H127" s="79"/>
      <c r="I127" s="79"/>
      <c r="J127" s="79"/>
      <c r="K127" s="78"/>
      <c r="U127" s="78"/>
      <c r="V127" s="78"/>
      <c r="W127" s="78"/>
    </row>
    <row r="128" spans="1:23" x14ac:dyDescent="0.2">
      <c r="A128" s="79" t="s">
        <v>277</v>
      </c>
      <c r="B128" s="79"/>
      <c r="C128" s="79"/>
      <c r="D128" s="79"/>
      <c r="E128" s="79"/>
      <c r="F128" s="79"/>
      <c r="G128" s="79"/>
      <c r="H128" s="79"/>
      <c r="I128" s="79"/>
      <c r="J128" s="79"/>
      <c r="K128" s="78"/>
      <c r="U128" s="78"/>
      <c r="V128" s="78"/>
      <c r="W128" s="78"/>
    </row>
    <row r="129" spans="1:23" x14ac:dyDescent="0.2">
      <c r="A129" s="81" t="str">
        <f t="shared" ref="A129:A160" si="52">A8</f>
        <v>Kharif Crops</v>
      </c>
      <c r="B129" s="79"/>
      <c r="C129" s="79"/>
      <c r="D129" s="79"/>
      <c r="E129" s="79"/>
      <c r="F129" s="79"/>
      <c r="G129" s="79"/>
      <c r="H129" s="79"/>
      <c r="I129" s="79"/>
      <c r="J129" s="79"/>
      <c r="K129" s="78"/>
      <c r="U129" s="78"/>
      <c r="V129" s="78"/>
      <c r="W129" s="78"/>
    </row>
    <row r="130" spans="1:23" x14ac:dyDescent="0.2">
      <c r="A130" s="79">
        <f t="shared" si="52"/>
        <v>0</v>
      </c>
      <c r="B130" s="79"/>
      <c r="C130" s="192">
        <v>90</v>
      </c>
      <c r="D130" s="80">
        <f>(C62*(1-'5.Closing Stock &amp; W Capital'!$D$15))*$C$130*D$124</f>
        <v>0</v>
      </c>
      <c r="E130" s="80">
        <f>(D62*(1-'5.Closing Stock &amp; W Capital'!$D$15))*$C$130*E$124</f>
        <v>0</v>
      </c>
      <c r="F130" s="80">
        <f>(E62*(1-'5.Closing Stock &amp; W Capital'!$D$15))*$C$130*F$124</f>
        <v>0</v>
      </c>
      <c r="G130" s="80">
        <f>(F62*(1-'5.Closing Stock &amp; W Capital'!$D$15))*$C$130*G$124</f>
        <v>0</v>
      </c>
      <c r="H130" s="80">
        <f>(G62*(1-'5.Closing Stock &amp; W Capital'!$D$15))*$C$130*H$124</f>
        <v>0</v>
      </c>
      <c r="I130" s="80">
        <f>(H62*(1-'5.Closing Stock &amp; W Capital'!$D$15))*$C$130*I$124</f>
        <v>0</v>
      </c>
      <c r="J130" s="80">
        <f>(I62*(1-'5.Closing Stock &amp; W Capital'!$D$15))*$C$130*J$124</f>
        <v>0</v>
      </c>
      <c r="K130" s="78"/>
      <c r="U130" s="78"/>
      <c r="V130" s="78"/>
      <c r="W130" s="78"/>
    </row>
    <row r="131" spans="1:23" x14ac:dyDescent="0.2">
      <c r="A131" s="79">
        <f t="shared" si="52"/>
        <v>0</v>
      </c>
      <c r="B131" s="79"/>
      <c r="C131" s="215">
        <v>80</v>
      </c>
      <c r="D131" s="80">
        <f>(C63*(1-'5.Closing Stock &amp; W Capital'!$D$15))*$C$131*D$124</f>
        <v>0</v>
      </c>
      <c r="E131" s="80">
        <f>((D63*(1-'5.Closing Stock &amp; W Capital'!$D$15))+(C63*'5.Closing Stock &amp; W Capital'!$D$15))*$C$131*E$124</f>
        <v>0</v>
      </c>
      <c r="F131" s="80">
        <f>((E63*(1-'5.Closing Stock &amp; W Capital'!$D$15))+(D63*'5.Closing Stock &amp; W Capital'!$D$15))*$C$131*F$124</f>
        <v>0</v>
      </c>
      <c r="G131" s="80">
        <f>((F63*(1-'5.Closing Stock &amp; W Capital'!$D$15))+(E63*'5.Closing Stock &amp; W Capital'!$D$15))*$C$131*G124</f>
        <v>0</v>
      </c>
      <c r="H131" s="80">
        <f>((G63*(1-'5.Closing Stock &amp; W Capital'!$D$15))+(F63*'5.Closing Stock &amp; W Capital'!$D$15))*$C$131*H124</f>
        <v>0</v>
      </c>
      <c r="I131" s="80">
        <f>((H63*(1-'5.Closing Stock &amp; W Capital'!$D$15))+(G63*'5.Closing Stock &amp; W Capital'!$D$15))*$C$131*I124</f>
        <v>0</v>
      </c>
      <c r="J131" s="80">
        <f>((I63*(1-'5.Closing Stock &amp; W Capital'!$D$15))+(H63*'5.Closing Stock &amp; W Capital'!$D$15))*$C$131*J124</f>
        <v>0</v>
      </c>
      <c r="K131" s="78"/>
      <c r="U131" s="143"/>
      <c r="V131" s="78"/>
      <c r="W131" s="78"/>
    </row>
    <row r="132" spans="1:23" x14ac:dyDescent="0.2">
      <c r="A132" s="79">
        <f t="shared" si="52"/>
        <v>0</v>
      </c>
      <c r="B132" s="79"/>
      <c r="C132" s="215">
        <v>65</v>
      </c>
      <c r="D132" s="80">
        <f>(C64*(1-'5.Closing Stock &amp; W Capital'!$D$15))*$C$132*D$124</f>
        <v>0</v>
      </c>
      <c r="E132" s="80">
        <f>((D64*(1-'5.Closing Stock &amp; W Capital'!$D$15))+(C64*'5.Closing Stock &amp; W Capital'!$D$15))*$C$132*E$124</f>
        <v>0</v>
      </c>
      <c r="F132" s="80">
        <f>((E64*(1-'5.Closing Stock &amp; W Capital'!$D$15))+(D64*'5.Closing Stock &amp; W Capital'!$D$15))*$C$132*F$124</f>
        <v>0</v>
      </c>
      <c r="G132" s="80">
        <f>((F64*(1-'5.Closing Stock &amp; W Capital'!$D$15))+(E64*'5.Closing Stock &amp; W Capital'!$D$15))*$C$132*G124</f>
        <v>0</v>
      </c>
      <c r="H132" s="80">
        <f>((G64*(1-'5.Closing Stock &amp; W Capital'!$D$15))+(F64*'5.Closing Stock &amp; W Capital'!$D$15))*$C$132*H124</f>
        <v>0</v>
      </c>
      <c r="I132" s="80">
        <f>((H64*(1-'5.Closing Stock &amp; W Capital'!$D$15))+(G64*'5.Closing Stock &amp; W Capital'!$D$15))*$C$132*I124</f>
        <v>0</v>
      </c>
      <c r="J132" s="80">
        <f>((I64*(1-'5.Closing Stock &amp; W Capital'!$D$15))+(H64*'5.Closing Stock &amp; W Capital'!$D$15))*$C$132*J124</f>
        <v>0</v>
      </c>
      <c r="K132" s="78"/>
      <c r="U132" s="78"/>
      <c r="V132" s="78"/>
      <c r="W132" s="78"/>
    </row>
    <row r="133" spans="1:23" x14ac:dyDescent="0.2">
      <c r="A133" s="79" t="str">
        <f t="shared" si="52"/>
        <v>Pomegranate</v>
      </c>
      <c r="B133" s="79"/>
      <c r="C133" s="215">
        <v>85</v>
      </c>
      <c r="D133" s="80">
        <f>(C65*(1-'5.Closing Stock &amp; W Capital'!$D$15))*$C$133*D$124</f>
        <v>0</v>
      </c>
      <c r="E133" s="80">
        <f>((D65*(1-'5.Closing Stock &amp; W Capital'!$D$15))+(C65*'5.Closing Stock &amp; W Capital'!$D$15))*$C$133*E$124</f>
        <v>0</v>
      </c>
      <c r="F133" s="80">
        <f>((E65*(1-'5.Closing Stock &amp; W Capital'!$D$15))+(D65*'5.Closing Stock &amp; W Capital'!$D$15))*$C$133*F$124</f>
        <v>0</v>
      </c>
      <c r="G133" s="80">
        <f>((F65*(1-'5.Closing Stock &amp; W Capital'!$D$15))+(E65*'5.Closing Stock &amp; W Capital'!$D$15))*$C$133*G$124</f>
        <v>0</v>
      </c>
      <c r="H133" s="80">
        <f>((G65*(1-'5.Closing Stock &amp; W Capital'!$D$15))+(F65*'5.Closing Stock &amp; W Capital'!$D$15))*$C$133*H$124</f>
        <v>0</v>
      </c>
      <c r="I133" s="80">
        <f>((H65*(1-'5.Closing Stock &amp; W Capital'!$D$15))+(G65*'5.Closing Stock &amp; W Capital'!$D$15))*$C$133*I$124</f>
        <v>0</v>
      </c>
      <c r="J133" s="80">
        <f>((I65*(1-'5.Closing Stock &amp; W Capital'!$D$15))+(H65*'5.Closing Stock &amp; W Capital'!$D$15))*$C$133*J$124</f>
        <v>0</v>
      </c>
      <c r="K133" s="78"/>
      <c r="U133" s="78"/>
      <c r="V133" s="78"/>
      <c r="W133" s="78"/>
    </row>
    <row r="134" spans="1:23" x14ac:dyDescent="0.2">
      <c r="A134" s="79" t="str">
        <f t="shared" si="52"/>
        <v>Custard Apple</v>
      </c>
      <c r="B134" s="79"/>
      <c r="C134" s="215">
        <v>37</v>
      </c>
      <c r="D134" s="80">
        <f>(C66*(1-'5.Closing Stock &amp; W Capital'!$D$15))*$C$134*D$124</f>
        <v>0</v>
      </c>
      <c r="E134" s="80">
        <f>((D66*(1-'5.Closing Stock &amp; W Capital'!$D$15))+(C66*'5.Closing Stock &amp; W Capital'!$D$15))*$C$135*E$124</f>
        <v>0</v>
      </c>
      <c r="F134" s="80">
        <f>((E66*(1-'5.Closing Stock &amp; W Capital'!$D$15))+(D66*'5.Closing Stock &amp; W Capital'!$D$15))*$C$135*F$124</f>
        <v>0</v>
      </c>
      <c r="G134" s="80">
        <f>((F66*(1-'5.Closing Stock &amp; W Capital'!$D$15))+(E66*'5.Closing Stock &amp; W Capital'!$D$15))*$C$135*G$124</f>
        <v>0</v>
      </c>
      <c r="H134" s="80">
        <f>((G66*(1-'5.Closing Stock &amp; W Capital'!$D$15))+(F66*'5.Closing Stock &amp; W Capital'!$D$15))*$C$135*H$124</f>
        <v>0</v>
      </c>
      <c r="I134" s="80">
        <f>((H66*(1-'5.Closing Stock &amp; W Capital'!$D$15))+(G66*'5.Closing Stock &amp; W Capital'!$D$15))*$C$135*I$124</f>
        <v>0</v>
      </c>
      <c r="J134" s="80">
        <f>((I66*(1-'5.Closing Stock &amp; W Capital'!$D$15))+(H66*'5.Closing Stock &amp; W Capital'!$D$15))*$C$135*J$124</f>
        <v>0</v>
      </c>
      <c r="K134" s="78"/>
      <c r="U134" s="78"/>
      <c r="V134" s="78"/>
      <c r="W134" s="78"/>
    </row>
    <row r="135" spans="1:23" x14ac:dyDescent="0.2">
      <c r="A135" s="79" t="str">
        <f t="shared" si="52"/>
        <v>Guava</v>
      </c>
      <c r="B135" s="79"/>
      <c r="C135" s="215">
        <v>75</v>
      </c>
      <c r="D135" s="80">
        <f>(C67*(1-'5.Closing Stock &amp; W Capital'!$D$15))*$C$135*D$124</f>
        <v>0</v>
      </c>
      <c r="E135" s="80">
        <f>((D67*(1-'5.Closing Stock &amp; W Capital'!$D$15))+(C67*'5.Closing Stock &amp; W Capital'!$D$15))*$C$135*E$124</f>
        <v>0</v>
      </c>
      <c r="F135" s="80">
        <f>((E67*(1-'5.Closing Stock &amp; W Capital'!$D$15))+(D67*'5.Closing Stock &amp; W Capital'!$D$15))*$C$135*F$124</f>
        <v>0</v>
      </c>
      <c r="G135" s="80">
        <f>((F67*(1-'5.Closing Stock &amp; W Capital'!$D$15))+(E67*'5.Closing Stock &amp; W Capital'!$D$15))*$C$135*G$124</f>
        <v>0</v>
      </c>
      <c r="H135" s="80">
        <f>((G67*(1-'5.Closing Stock &amp; W Capital'!$D$15))+(F67*'5.Closing Stock &amp; W Capital'!$D$15))*$C$135*H$124</f>
        <v>0</v>
      </c>
      <c r="I135" s="80">
        <f>((H67*(1-'5.Closing Stock &amp; W Capital'!$D$15))+(G67*'5.Closing Stock &amp; W Capital'!$D$15))*$C$135*I$124</f>
        <v>0</v>
      </c>
      <c r="J135" s="80">
        <f>((I67*(1-'5.Closing Stock &amp; W Capital'!$D$15))+(H67*'5.Closing Stock &amp; W Capital'!$D$15))*$C$135*J$124</f>
        <v>0</v>
      </c>
      <c r="K135" s="78"/>
      <c r="U135" s="78"/>
      <c r="V135" s="78"/>
      <c r="W135" s="78"/>
    </row>
    <row r="136" spans="1:23" x14ac:dyDescent="0.2">
      <c r="A136" s="79" t="str">
        <f t="shared" si="52"/>
        <v>Citrus</v>
      </c>
      <c r="B136" s="79"/>
      <c r="C136" s="215">
        <v>30</v>
      </c>
      <c r="D136" s="80">
        <f>(C68*(1-'5.Closing Stock &amp; W Capital'!$D$15))*$C$136*D$124</f>
        <v>0</v>
      </c>
      <c r="E136" s="80">
        <f>((D68*(1-'5.Closing Stock &amp; W Capital'!$D$15))+(C68*'5.Closing Stock &amp; W Capital'!$D$15))*$C$136*E$124</f>
        <v>0</v>
      </c>
      <c r="F136" s="80">
        <f>((E68*(1-'5.Closing Stock &amp; W Capital'!$D$15))+(D68*'5.Closing Stock &amp; W Capital'!$D$15))*$C$136*F$124</f>
        <v>0</v>
      </c>
      <c r="G136" s="80">
        <f>((F68*(1-'5.Closing Stock &amp; W Capital'!$D$15))+(E68*'5.Closing Stock &amp; W Capital'!$D$15))*$C$136*G$124</f>
        <v>0</v>
      </c>
      <c r="H136" s="80">
        <f>((G68*(1-'5.Closing Stock &amp; W Capital'!$D$15))+(F68*'5.Closing Stock &amp; W Capital'!$D$15))*$C$136*H$124</f>
        <v>0</v>
      </c>
      <c r="I136" s="80">
        <f>((H68*(1-'5.Closing Stock &amp; W Capital'!$D$15))+(G68*'5.Closing Stock &amp; W Capital'!$D$15))*$C$136*I$124</f>
        <v>0</v>
      </c>
      <c r="J136" s="80">
        <f>((I68*(1-'5.Closing Stock &amp; W Capital'!$D$15))+(H68*'5.Closing Stock &amp; W Capital'!$D$15))*$C$136*J$124</f>
        <v>0</v>
      </c>
      <c r="K136" s="78"/>
      <c r="U136" s="78"/>
      <c r="V136" s="78"/>
      <c r="W136" s="78"/>
    </row>
    <row r="137" spans="1:23" x14ac:dyDescent="0.2">
      <c r="A137" s="79" t="str">
        <f t="shared" si="52"/>
        <v>11.5 Crop-wise Area Considered for Agri Input Service Centre</v>
      </c>
      <c r="B137" s="79"/>
      <c r="C137" s="215">
        <v>30</v>
      </c>
      <c r="D137" s="80">
        <f>(C69*(1-'5.Closing Stock &amp; W Capital'!$D$15))*$C$137*D$124</f>
        <v>0</v>
      </c>
      <c r="E137" s="80">
        <f>((D69*(1-'5.Closing Stock &amp; W Capital'!$D$15))+(C69*'5.Closing Stock &amp; W Capital'!$D$15))*$C$137*E$124</f>
        <v>0</v>
      </c>
      <c r="F137" s="80">
        <f>((E69*(1-'5.Closing Stock &amp; W Capital'!$D$15))+(D69*'5.Closing Stock &amp; W Capital'!$D$15))*$C$137*F$124</f>
        <v>0</v>
      </c>
      <c r="G137" s="80">
        <f>((F69*(1-'5.Closing Stock &amp; W Capital'!$D$15))+(E69*'5.Closing Stock &amp; W Capital'!$D$15))*$C$137*G$124</f>
        <v>0</v>
      </c>
      <c r="H137" s="80">
        <f>((G69*(1-'5.Closing Stock &amp; W Capital'!$D$15))+(F69*'5.Closing Stock &amp; W Capital'!$D$15))*$C$137*H$124</f>
        <v>0</v>
      </c>
      <c r="I137" s="80">
        <f>((H69*(1-'5.Closing Stock &amp; W Capital'!$D$15))+(G69*'5.Closing Stock &amp; W Capital'!$D$15))*$C$137*I$124</f>
        <v>0</v>
      </c>
      <c r="J137" s="80">
        <f>((I69*(1-'5.Closing Stock &amp; W Capital'!$D$15))+(H69*'5.Closing Stock &amp; W Capital'!$D$15))*$C$137*J$124</f>
        <v>0</v>
      </c>
      <c r="K137" s="78"/>
      <c r="U137" s="78"/>
      <c r="V137" s="78"/>
      <c r="W137" s="78"/>
    </row>
    <row r="138" spans="1:23" x14ac:dyDescent="0.2">
      <c r="A138" s="81" t="str">
        <f t="shared" si="52"/>
        <v>Rabi Crop</v>
      </c>
      <c r="B138" s="79"/>
      <c r="C138" s="215"/>
      <c r="D138" s="80"/>
      <c r="E138" s="80"/>
      <c r="F138" s="80"/>
      <c r="G138" s="80"/>
      <c r="H138" s="80"/>
      <c r="I138" s="80"/>
      <c r="J138" s="80"/>
      <c r="K138" s="78"/>
      <c r="U138" s="78"/>
      <c r="V138" s="78"/>
      <c r="W138" s="78"/>
    </row>
    <row r="139" spans="1:23" x14ac:dyDescent="0.2">
      <c r="A139" s="79">
        <f t="shared" si="52"/>
        <v>0</v>
      </c>
      <c r="B139" s="79"/>
      <c r="C139" s="215">
        <v>40</v>
      </c>
      <c r="D139" s="80" t="e">
        <f>(C71*(1-'5.Closing Stock &amp; W Capital'!$D$15))*$C$139*D$124</f>
        <v>#VALUE!</v>
      </c>
      <c r="E139" s="80" t="e">
        <f>((D71*(1-'5.Closing Stock &amp; W Capital'!$D$15))+(C71*'5.Closing Stock &amp; W Capital'!$D$15))*$C$139*E$124</f>
        <v>#VALUE!</v>
      </c>
      <c r="F139" s="80" t="e">
        <f>((E71*(1-'5.Closing Stock &amp; W Capital'!$D$15))+(D71*'5.Closing Stock &amp; W Capital'!$D$15))*$C$139*F$124</f>
        <v>#VALUE!</v>
      </c>
      <c r="G139" s="80" t="e">
        <f>((F71*(1-'5.Closing Stock &amp; W Capital'!$D$15))+(E71*'5.Closing Stock &amp; W Capital'!$D$15))*$C$139*G$124</f>
        <v>#VALUE!</v>
      </c>
      <c r="H139" s="80" t="e">
        <f>((G71*(1-'5.Closing Stock &amp; W Capital'!$D$15))+(F71*'5.Closing Stock &amp; W Capital'!$D$15))*$C$139*H$124</f>
        <v>#VALUE!</v>
      </c>
      <c r="I139" s="80" t="e">
        <f>((H71*(1-'5.Closing Stock &amp; W Capital'!$D$15))+(G71*'5.Closing Stock &amp; W Capital'!$D$15))*$C$139*I$124</f>
        <v>#VALUE!</v>
      </c>
      <c r="J139" s="80" t="e">
        <f>((I71*(1-'5.Closing Stock &amp; W Capital'!$D$15))+(H71*'5.Closing Stock &amp; W Capital'!$D$15))*$C$139*J$124</f>
        <v>#VALUE!</v>
      </c>
      <c r="K139" s="78"/>
      <c r="U139" s="78"/>
      <c r="V139" s="78"/>
      <c r="W139" s="78"/>
    </row>
    <row r="140" spans="1:23" x14ac:dyDescent="0.2">
      <c r="A140" s="79" t="str">
        <f t="shared" si="52"/>
        <v>Onion</v>
      </c>
      <c r="B140" s="79"/>
      <c r="C140" s="215">
        <v>75</v>
      </c>
      <c r="D140" s="80">
        <f>(C72*(1-'5.Closing Stock &amp; W Capital'!$D$15))*$C$140*D$124</f>
        <v>0</v>
      </c>
      <c r="E140" s="80">
        <f>((D72*(1-'5.Closing Stock &amp; W Capital'!$D$15))+(C72*'5.Closing Stock &amp; W Capital'!$D$15))*$C$140*E$124</f>
        <v>0</v>
      </c>
      <c r="F140" s="80">
        <f>((E72*(1-'5.Closing Stock &amp; W Capital'!$D$15))+(D72*'5.Closing Stock &amp; W Capital'!$D$15))*$C$140*F$124</f>
        <v>0</v>
      </c>
      <c r="G140" s="80">
        <f>((F72*(1-'5.Closing Stock &amp; W Capital'!$D$15))+(E72*'5.Closing Stock &amp; W Capital'!$D$15))*$C$140*G$124</f>
        <v>0</v>
      </c>
      <c r="H140" s="80">
        <f>((G72*(1-'5.Closing Stock &amp; W Capital'!$D$15))+(F72*'5.Closing Stock &amp; W Capital'!$D$15))*$C$140*H$124</f>
        <v>0</v>
      </c>
      <c r="I140" s="80">
        <f>((H72*(1-'5.Closing Stock &amp; W Capital'!$D$15))+(G72*'5.Closing Stock &amp; W Capital'!$D$15))*$C$140*I$124</f>
        <v>0</v>
      </c>
      <c r="J140" s="80">
        <f>((I72*(1-'5.Closing Stock &amp; W Capital'!$D$15))+(H72*'5.Closing Stock &amp; W Capital'!$D$15))*$C$140*J$124</f>
        <v>0</v>
      </c>
      <c r="K140" s="78"/>
      <c r="U140" s="78"/>
      <c r="V140" s="78"/>
      <c r="W140" s="78"/>
    </row>
    <row r="141" spans="1:23" x14ac:dyDescent="0.2">
      <c r="A141" s="79" t="str">
        <f t="shared" si="52"/>
        <v>Tomato</v>
      </c>
      <c r="B141" s="79"/>
      <c r="C141" s="215">
        <v>27</v>
      </c>
      <c r="D141" s="80">
        <f>(C73*(1-'5.Closing Stock &amp; W Capital'!$D$15))*$C$141*D$124</f>
        <v>0</v>
      </c>
      <c r="E141" s="80">
        <f>((D73*(1-'5.Closing Stock &amp; W Capital'!$D$15))+(C73*'5.Closing Stock &amp; W Capital'!$D$15))*$C$141*E$124</f>
        <v>0</v>
      </c>
      <c r="F141" s="80">
        <f>((E73*(1-'5.Closing Stock &amp; W Capital'!$D$15))+(D73*'5.Closing Stock &amp; W Capital'!$D$15))*$C$141*F$124</f>
        <v>0</v>
      </c>
      <c r="G141" s="80">
        <f>((F73*(1-'5.Closing Stock &amp; W Capital'!$D$15))+(E73*'5.Closing Stock &amp; W Capital'!$D$15))*$C$141*G$124</f>
        <v>0</v>
      </c>
      <c r="H141" s="80">
        <f>((G73*(1-'5.Closing Stock &amp; W Capital'!$D$15))+(F73*'5.Closing Stock &amp; W Capital'!$D$15))*$C$141*H$124</f>
        <v>0</v>
      </c>
      <c r="I141" s="80">
        <f>((H73*(1-'5.Closing Stock &amp; W Capital'!$D$15))+(G73*'5.Closing Stock &amp; W Capital'!$D$15))*$C$141*I$124</f>
        <v>0</v>
      </c>
      <c r="J141" s="80">
        <f>((I73*(1-'5.Closing Stock &amp; W Capital'!$D$15))+(H73*'5.Closing Stock &amp; W Capital'!$D$15))*$C$141*J$124</f>
        <v>0</v>
      </c>
      <c r="K141" s="78"/>
      <c r="U141" s="78"/>
      <c r="V141" s="78"/>
      <c r="W141" s="78"/>
    </row>
    <row r="142" spans="1:23" x14ac:dyDescent="0.2">
      <c r="A142" s="79" t="str">
        <f t="shared" si="52"/>
        <v>Okra</v>
      </c>
      <c r="B142" s="79"/>
      <c r="C142" s="215">
        <v>27</v>
      </c>
      <c r="D142" s="80">
        <f>(C74*(1-'5.Closing Stock &amp; W Capital'!$D$15))*$C$142*D$124</f>
        <v>0</v>
      </c>
      <c r="E142" s="80">
        <f>((D74*(1-'5.Closing Stock &amp; W Capital'!$D$15))+(C74*'5.Closing Stock &amp; W Capital'!$D$15))*$C$142*E$124</f>
        <v>0</v>
      </c>
      <c r="F142" s="80">
        <f>((E74*(1-'5.Closing Stock &amp; W Capital'!$D$15))+(D74*'5.Closing Stock &amp; W Capital'!$D$15))*$C$142*F$124</f>
        <v>0</v>
      </c>
      <c r="G142" s="80">
        <f>((F74*(1-'5.Closing Stock &amp; W Capital'!$D$15))+(E74*'5.Closing Stock &amp; W Capital'!$D$15))*$C$142*G$124</f>
        <v>0</v>
      </c>
      <c r="H142" s="80">
        <f>((G74*(1-'5.Closing Stock &amp; W Capital'!$D$15))+(F74*'5.Closing Stock &amp; W Capital'!$D$15))*$C$142*H$124</f>
        <v>0</v>
      </c>
      <c r="I142" s="80">
        <f>((H74*(1-'5.Closing Stock &amp; W Capital'!$D$15))+(G74*'5.Closing Stock &amp; W Capital'!$D$15))*$C$142*I$124</f>
        <v>0</v>
      </c>
      <c r="J142" s="80">
        <f>((I74*(1-'5.Closing Stock &amp; W Capital'!$D$15))+(H74*'5.Closing Stock &amp; W Capital'!$D$15))*$C$142*J$124</f>
        <v>0</v>
      </c>
      <c r="K142" s="78"/>
      <c r="U142" s="78"/>
      <c r="V142" s="78"/>
      <c r="W142" s="78"/>
    </row>
    <row r="143" spans="1:23" x14ac:dyDescent="0.2">
      <c r="A143" s="79" t="str">
        <f t="shared" si="52"/>
        <v>Chilli</v>
      </c>
      <c r="B143" s="79"/>
      <c r="C143" s="215"/>
      <c r="D143" s="80">
        <f>(C75*(1-'5.Closing Stock &amp; W Capital'!$D$15))*$C$143*D$124</f>
        <v>0</v>
      </c>
      <c r="E143" s="80">
        <f>((D75*(1-'5.Closing Stock &amp; W Capital'!$D$15))+(C75*'5.Closing Stock &amp; W Capital'!$D$15))*$C$143*E$124</f>
        <v>0</v>
      </c>
      <c r="F143" s="80">
        <f>((E75*(1-'5.Closing Stock &amp; W Capital'!$D$15))+(D75*'5.Closing Stock &amp; W Capital'!$D$15))*$C$143*F$124</f>
        <v>0</v>
      </c>
      <c r="G143" s="80">
        <f>((F75*(1-'5.Closing Stock &amp; W Capital'!$D$15))+(E75*'5.Closing Stock &amp; W Capital'!$D$15))*$C$143*G$124</f>
        <v>0</v>
      </c>
      <c r="H143" s="80">
        <f>((G75*(1-'5.Closing Stock &amp; W Capital'!$D$15))+(F75*'5.Closing Stock &amp; W Capital'!$D$15))*$C$143*H$124</f>
        <v>0</v>
      </c>
      <c r="I143" s="80">
        <f>((H75*(1-'5.Closing Stock &amp; W Capital'!$D$15))+(G75*'5.Closing Stock &amp; W Capital'!$D$15))*$C$143*I$124</f>
        <v>0</v>
      </c>
      <c r="J143" s="80">
        <f>((I75*(1-'5.Closing Stock &amp; W Capital'!$D$15))+(H75*'5.Closing Stock &amp; W Capital'!$D$15))*$C$143*J$124</f>
        <v>0</v>
      </c>
      <c r="K143" s="78"/>
      <c r="U143" s="78"/>
      <c r="V143" s="78"/>
      <c r="W143" s="78"/>
    </row>
    <row r="144" spans="1:23" x14ac:dyDescent="0.2">
      <c r="A144" s="79" t="str">
        <f t="shared" si="52"/>
        <v>Potato</v>
      </c>
      <c r="B144" s="79"/>
      <c r="C144" s="215"/>
      <c r="D144" s="80">
        <f>(C76*(1-'5.Closing Stock &amp; W Capital'!$D$15))*$C$144*D$124</f>
        <v>0</v>
      </c>
      <c r="E144" s="80">
        <f>((D76*(1-'5.Closing Stock &amp; W Capital'!$D$15))+(C76*'5.Closing Stock &amp; W Capital'!$D$15))*$C$144*E$124</f>
        <v>0</v>
      </c>
      <c r="F144" s="80">
        <f>((E76*(1-'5.Closing Stock &amp; W Capital'!$D$15))+(D76*'5.Closing Stock &amp; W Capital'!$D$15))*$C$144*F$124</f>
        <v>0</v>
      </c>
      <c r="G144" s="80">
        <f>((F76*(1-'5.Closing Stock &amp; W Capital'!$D$15))+(E76*'5.Closing Stock &amp; W Capital'!$D$15))*$C$144*G$124</f>
        <v>0</v>
      </c>
      <c r="H144" s="80">
        <f>((G76*(1-'5.Closing Stock &amp; W Capital'!$D$15))+(F76*'5.Closing Stock &amp; W Capital'!$D$15))*$C$144*H$124</f>
        <v>0</v>
      </c>
      <c r="I144" s="80">
        <f>((H76*(1-'5.Closing Stock &amp; W Capital'!$D$15))+(G76*'5.Closing Stock &amp; W Capital'!$D$15))*$C$144*I$124</f>
        <v>0</v>
      </c>
      <c r="J144" s="80">
        <f>((I76*(1-'5.Closing Stock &amp; W Capital'!$D$15))+(H76*'5.Closing Stock &amp; W Capital'!$D$15))*$C$144*J$124</f>
        <v>0</v>
      </c>
      <c r="K144" s="78"/>
      <c r="U144" s="78"/>
      <c r="V144" s="78"/>
      <c r="W144" s="78"/>
    </row>
    <row r="145" spans="1:23" x14ac:dyDescent="0.2">
      <c r="A145" s="79">
        <f t="shared" si="52"/>
        <v>0</v>
      </c>
      <c r="B145" s="79"/>
      <c r="C145" s="215"/>
      <c r="D145" s="80">
        <f>(C77*(1-'5.Closing Stock &amp; W Capital'!$D$15))*$C$145*D$124</f>
        <v>0</v>
      </c>
      <c r="E145" s="80">
        <f>((D77*(1-'5.Closing Stock &amp; W Capital'!$D$15))+(C77*'5.Closing Stock &amp; W Capital'!$D$15))*$C$145*E$124</f>
        <v>0</v>
      </c>
      <c r="F145" s="80">
        <f>((E77*(1-'5.Closing Stock &amp; W Capital'!$D$15))+(D77*'5.Closing Stock &amp; W Capital'!$D$15))*$C$145*F$124</f>
        <v>0</v>
      </c>
      <c r="G145" s="80">
        <f>((F77*(1-'5.Closing Stock &amp; W Capital'!$D$15))+(E77*'5.Closing Stock &amp; W Capital'!$D$15))*$C$145*G$124</f>
        <v>0</v>
      </c>
      <c r="H145" s="80">
        <f>((G77*(1-'5.Closing Stock &amp; W Capital'!$D$15))+(F77*'5.Closing Stock &amp; W Capital'!$D$15))*$C$145*H$124</f>
        <v>0</v>
      </c>
      <c r="I145" s="80">
        <f>((H77*(1-'5.Closing Stock &amp; W Capital'!$D$15))+(G77*'5.Closing Stock &amp; W Capital'!$D$15))*$C$145*I$124</f>
        <v>0</v>
      </c>
      <c r="J145" s="80">
        <f>((I77*(1-'5.Closing Stock &amp; W Capital'!$D$15))+(H77*'5.Closing Stock &amp; W Capital'!$D$15))*$C$145*J$124</f>
        <v>0</v>
      </c>
      <c r="K145" s="78"/>
      <c r="U145" s="78"/>
      <c r="V145" s="78"/>
      <c r="W145" s="78"/>
    </row>
    <row r="146" spans="1:23" x14ac:dyDescent="0.2">
      <c r="A146" s="79">
        <f t="shared" si="52"/>
        <v>0</v>
      </c>
      <c r="B146" s="79"/>
      <c r="C146" s="215"/>
      <c r="D146" s="80">
        <f>(C78*(1-'5.Closing Stock &amp; W Capital'!$D$15))*$C$146*D$124</f>
        <v>0</v>
      </c>
      <c r="E146" s="80">
        <f>((D78*(1-'5.Closing Stock &amp; W Capital'!$D$15))+(C78*'5.Closing Stock &amp; W Capital'!$D$15))*$C$146*E$124</f>
        <v>0</v>
      </c>
      <c r="F146" s="80">
        <f>((E78*(1-'5.Closing Stock &amp; W Capital'!$D$15))+(D78*'5.Closing Stock &amp; W Capital'!$D$15))*$C$146*F$124</f>
        <v>0</v>
      </c>
      <c r="G146" s="80">
        <f>((F78*(1-'5.Closing Stock &amp; W Capital'!$D$15))+(E78*'5.Closing Stock &amp; W Capital'!$D$15))*$C$146*G$124</f>
        <v>0</v>
      </c>
      <c r="H146" s="80">
        <f>((G78*(1-'5.Closing Stock &amp; W Capital'!$D$15))+(F78*'5.Closing Stock &amp; W Capital'!$D$15))*$C$146*H$124</f>
        <v>0</v>
      </c>
      <c r="I146" s="80">
        <f>((H78*(1-'5.Closing Stock &amp; W Capital'!$D$15))+(G78*'5.Closing Stock &amp; W Capital'!$D$15))*$C$146*I$124</f>
        <v>0</v>
      </c>
      <c r="J146" s="80">
        <f>((I78*(1-'5.Closing Stock &amp; W Capital'!$D$15))+(H78*'5.Closing Stock &amp; W Capital'!$D$15))*$C$146*J$124</f>
        <v>0</v>
      </c>
      <c r="K146" s="78"/>
      <c r="U146" s="78"/>
      <c r="V146" s="78"/>
      <c r="W146" s="78"/>
    </row>
    <row r="147" spans="1:23" x14ac:dyDescent="0.2">
      <c r="A147" s="81" t="str">
        <f t="shared" si="52"/>
        <v>Summer</v>
      </c>
      <c r="B147" s="79"/>
      <c r="C147" s="215"/>
      <c r="D147" s="80"/>
      <c r="E147" s="80"/>
      <c r="F147" s="80"/>
      <c r="G147" s="80"/>
      <c r="H147" s="80"/>
      <c r="I147" s="80"/>
      <c r="J147" s="80"/>
      <c r="K147" s="78"/>
      <c r="U147" s="78"/>
      <c r="V147" s="78"/>
      <c r="W147" s="78"/>
    </row>
    <row r="148" spans="1:23" x14ac:dyDescent="0.2">
      <c r="A148" s="79">
        <f t="shared" si="52"/>
        <v>0</v>
      </c>
      <c r="B148" s="79"/>
      <c r="C148" s="215"/>
      <c r="D148" s="80">
        <f>(C80*(1-'5.Closing Stock &amp; W Capital'!$D$15))*$C$148*D$124</f>
        <v>0</v>
      </c>
      <c r="E148" s="80">
        <f>((D80*(1-'5.Closing Stock &amp; W Capital'!$D$15))+(C80*'5.Closing Stock &amp; W Capital'!$D$15))*$C$148*E$124</f>
        <v>0</v>
      </c>
      <c r="F148" s="80">
        <f>((E80*(1-'5.Closing Stock &amp; W Capital'!$D$15))+(D80*'5.Closing Stock &amp; W Capital'!$D$15))*$C$148*F$124</f>
        <v>0</v>
      </c>
      <c r="G148" s="80">
        <f>((F80*(1-'5.Closing Stock &amp; W Capital'!$D$15))+(E80*'5.Closing Stock &amp; W Capital'!$D$15))*$C$148*G$124</f>
        <v>0</v>
      </c>
      <c r="H148" s="80">
        <f>((G80*(1-'5.Closing Stock &amp; W Capital'!$D$15))+(F80*'5.Closing Stock &amp; W Capital'!$D$15))*$C$148*H$124</f>
        <v>0</v>
      </c>
      <c r="I148" s="80">
        <f>((H80*(1-'5.Closing Stock &amp; W Capital'!$D$15))+(G80*'5.Closing Stock &amp; W Capital'!$D$15))*$C$148*I$124</f>
        <v>0</v>
      </c>
      <c r="J148" s="80">
        <f>((I80*(1-'5.Closing Stock &amp; W Capital'!$D$15))+(H80*'5.Closing Stock &amp; W Capital'!$D$15))*$C$148*J$124</f>
        <v>0</v>
      </c>
      <c r="K148" s="78"/>
      <c r="U148" s="78"/>
      <c r="V148" s="78"/>
      <c r="W148" s="78"/>
    </row>
    <row r="149" spans="1:23" x14ac:dyDescent="0.2">
      <c r="A149" s="79">
        <f t="shared" si="52"/>
        <v>0</v>
      </c>
      <c r="B149" s="79"/>
      <c r="C149" s="215"/>
      <c r="D149" s="80">
        <f>(C81*(1-'5.Closing Stock &amp; W Capital'!$D$15))*$C$149*D$124</f>
        <v>0</v>
      </c>
      <c r="E149" s="80">
        <f>((D81*(1-'5.Closing Stock &amp; W Capital'!$D$15))+(C81*'5.Closing Stock &amp; W Capital'!$D$15))*$C$149*E$124</f>
        <v>0</v>
      </c>
      <c r="F149" s="80">
        <f>((E81*(1-'5.Closing Stock &amp; W Capital'!$D$15))+(D81*'5.Closing Stock &amp; W Capital'!$D$15))*$C$149*F$124</f>
        <v>0</v>
      </c>
      <c r="G149" s="80">
        <f>((F81*(1-'5.Closing Stock &amp; W Capital'!$D$15))+(E81*'5.Closing Stock &amp; W Capital'!$D$15))*$C$149*G$124</f>
        <v>0</v>
      </c>
      <c r="H149" s="80">
        <f>((G81*(1-'5.Closing Stock &amp; W Capital'!$D$15))+(F81*'5.Closing Stock &amp; W Capital'!$D$15))*$C$149*H$124</f>
        <v>0</v>
      </c>
      <c r="I149" s="80">
        <f>((H81*(1-'5.Closing Stock &amp; W Capital'!$D$15))+(G81*'5.Closing Stock &amp; W Capital'!$D$15))*$C$149*I$124</f>
        <v>0</v>
      </c>
      <c r="J149" s="80">
        <f>((I81*(1-'5.Closing Stock &amp; W Capital'!$D$15))+(H81*'5.Closing Stock &amp; W Capital'!$D$15))*$C$149*J$124</f>
        <v>0</v>
      </c>
      <c r="K149" s="78"/>
      <c r="U149" s="78"/>
      <c r="V149" s="78"/>
      <c r="W149" s="78"/>
    </row>
    <row r="150" spans="1:23" x14ac:dyDescent="0.2">
      <c r="A150" s="79" t="str">
        <f t="shared" si="52"/>
        <v>Onion</v>
      </c>
      <c r="B150" s="79"/>
      <c r="C150" s="215"/>
      <c r="D150" s="80">
        <f>(C82*(1-'5.Closing Stock &amp; W Capital'!$D$15))*$C$150*D$124</f>
        <v>0</v>
      </c>
      <c r="E150" s="80">
        <f>((D82*(1-'5.Closing Stock &amp; W Capital'!$D$15))+(C82*'5.Closing Stock &amp; W Capital'!$D$15))*$C$150*E$124</f>
        <v>0</v>
      </c>
      <c r="F150" s="80">
        <f>((E82*(1-'5.Closing Stock &amp; W Capital'!$D$15))+(D82*'5.Closing Stock &amp; W Capital'!$D$15))*$C$150*F$124</f>
        <v>0</v>
      </c>
      <c r="G150" s="80">
        <f>((F82*(1-'5.Closing Stock &amp; W Capital'!$D$15))+(E82*'5.Closing Stock &amp; W Capital'!$D$15))*$C$150*G$124</f>
        <v>0</v>
      </c>
      <c r="H150" s="80">
        <f>((G82*(1-'5.Closing Stock &amp; W Capital'!$D$15))+(F82*'5.Closing Stock &amp; W Capital'!$D$15))*$C$150*H$124</f>
        <v>0</v>
      </c>
      <c r="I150" s="80">
        <f>((H82*(1-'5.Closing Stock &amp; W Capital'!$D$15))+(G82*'5.Closing Stock &amp; W Capital'!$D$15))*$C$150*I$124</f>
        <v>0</v>
      </c>
      <c r="J150" s="80">
        <f>((I82*(1-'5.Closing Stock &amp; W Capital'!$D$15))+(H82*'5.Closing Stock &amp; W Capital'!$D$15))*$C$150*J$124</f>
        <v>0</v>
      </c>
      <c r="K150" s="78"/>
      <c r="U150" s="78"/>
      <c r="V150" s="78"/>
      <c r="W150" s="78"/>
    </row>
    <row r="151" spans="1:23" x14ac:dyDescent="0.2">
      <c r="A151" s="79" t="str">
        <f t="shared" si="52"/>
        <v>Tomato</v>
      </c>
      <c r="B151" s="79"/>
      <c r="C151" s="215"/>
      <c r="D151" s="80">
        <f>(C83*(1-'5.Closing Stock &amp; W Capital'!$D$15))*$C$151*D$124</f>
        <v>0</v>
      </c>
      <c r="E151" s="80">
        <f>((D83*(1-'5.Closing Stock &amp; W Capital'!$D$15))+(C83*'5.Closing Stock &amp; W Capital'!$D$15))*$C$151*E$124</f>
        <v>0</v>
      </c>
      <c r="F151" s="80">
        <f>((E83*(1-'5.Closing Stock &amp; W Capital'!$D$15))+(D83*'5.Closing Stock &amp; W Capital'!$D$15))*$C$151*F$124</f>
        <v>0</v>
      </c>
      <c r="G151" s="80">
        <f>((F83*(1-'5.Closing Stock &amp; W Capital'!$D$15))+(E83*'5.Closing Stock &amp; W Capital'!$D$15))*$C$151*G$124</f>
        <v>0</v>
      </c>
      <c r="H151" s="80">
        <f>((G83*(1-'5.Closing Stock &amp; W Capital'!$D$15))+(F83*'5.Closing Stock &amp; W Capital'!$D$15))*$C$151*H$124</f>
        <v>0</v>
      </c>
      <c r="I151" s="80">
        <f>((H83*(1-'5.Closing Stock &amp; W Capital'!$D$15))+(G83*'5.Closing Stock &amp; W Capital'!$D$15))*$C$151*I$124</f>
        <v>0</v>
      </c>
      <c r="J151" s="80">
        <f>((I83*(1-'5.Closing Stock &amp; W Capital'!$D$15))+(H83*'5.Closing Stock &amp; W Capital'!$D$15))*$C$151*J$124</f>
        <v>0</v>
      </c>
      <c r="K151" s="78"/>
      <c r="U151" s="78"/>
      <c r="V151" s="78"/>
      <c r="W151" s="78"/>
    </row>
    <row r="152" spans="1:23" x14ac:dyDescent="0.2">
      <c r="A152" s="79" t="str">
        <f t="shared" si="52"/>
        <v>Okra</v>
      </c>
      <c r="B152" s="79"/>
      <c r="C152" s="215"/>
      <c r="D152" s="80">
        <f>(C84*(1-'5.Closing Stock &amp; W Capital'!$D$15))*$C$152*D$124</f>
        <v>0</v>
      </c>
      <c r="E152" s="80">
        <f>((D84*(1-'5.Closing Stock &amp; W Capital'!$D$15))+(C84*'5.Closing Stock &amp; W Capital'!$D$15))*$C$152*E$124</f>
        <v>0</v>
      </c>
      <c r="F152" s="80">
        <f>((E84*(1-'5.Closing Stock &amp; W Capital'!$D$15))+(D84*'5.Closing Stock &amp; W Capital'!$D$15))*$C$152*F$124</f>
        <v>0</v>
      </c>
      <c r="G152" s="80">
        <f>((F84*(1-'5.Closing Stock &amp; W Capital'!$D$15))+(E84*'5.Closing Stock &amp; W Capital'!$D$15))*$C$152*G$124</f>
        <v>0</v>
      </c>
      <c r="H152" s="80">
        <f>((G84*(1-'5.Closing Stock &amp; W Capital'!$D$15))+(F84*'5.Closing Stock &amp; W Capital'!$D$15))*$C$152*H$124</f>
        <v>0</v>
      </c>
      <c r="I152" s="80">
        <f>((H84*(1-'5.Closing Stock &amp; W Capital'!$D$15))+(G84*'5.Closing Stock &amp; W Capital'!$D$15))*$C$152*I$124</f>
        <v>0</v>
      </c>
      <c r="J152" s="80">
        <f>((I84*(1-'5.Closing Stock &amp; W Capital'!$D$15))+(H84*'5.Closing Stock &amp; W Capital'!$D$15))*$C$152*J$124</f>
        <v>0</v>
      </c>
      <c r="K152" s="78"/>
      <c r="U152" s="78"/>
      <c r="V152" s="78"/>
      <c r="W152" s="78"/>
    </row>
    <row r="153" spans="1:23" x14ac:dyDescent="0.2">
      <c r="A153" s="79" t="str">
        <f t="shared" si="52"/>
        <v>10 Grain Crop Production Details</v>
      </c>
      <c r="B153" s="79"/>
      <c r="C153" s="215"/>
      <c r="D153" s="80"/>
      <c r="E153" s="80"/>
      <c r="F153" s="80"/>
      <c r="G153" s="80"/>
      <c r="H153" s="80"/>
      <c r="I153" s="80"/>
      <c r="J153" s="80"/>
      <c r="K153" s="78"/>
      <c r="U153" s="78"/>
      <c r="V153" s="78"/>
      <c r="W153" s="78"/>
    </row>
    <row r="154" spans="1:23" x14ac:dyDescent="0.2">
      <c r="A154" s="79" t="str">
        <f t="shared" si="52"/>
        <v>Assumptions:</v>
      </c>
      <c r="B154" s="79"/>
      <c r="C154" s="215"/>
      <c r="D154" s="80">
        <f>(C86*(1-'5.Closing Stock &amp; W Capital'!$D$15))*$C154*D$124</f>
        <v>0</v>
      </c>
      <c r="E154" s="80">
        <f>((D86*(1-'5.Closing Stock &amp; W Capital'!$D$15))+(C86*'5.Closing Stock &amp; W Capital'!$D$15))*$C154*E$124</f>
        <v>0</v>
      </c>
      <c r="F154" s="80">
        <f>((E86*(1-'5.Closing Stock &amp; W Capital'!$D$15))+(D86*'5.Closing Stock &amp; W Capital'!$D$15))*$C$152*F$124</f>
        <v>0</v>
      </c>
      <c r="G154" s="80">
        <f>((F86*(1-'5.Closing Stock &amp; W Capital'!$D$15))+(E86*'5.Closing Stock &amp; W Capital'!$D$15))*$C$152*G$124</f>
        <v>0</v>
      </c>
      <c r="H154" s="80">
        <f>((G86*(1-'5.Closing Stock &amp; W Capital'!$D$15))+(F86*'5.Closing Stock &amp; W Capital'!$D$15))*$C$152*H$124</f>
        <v>0</v>
      </c>
      <c r="I154" s="80">
        <f>((H86*(1-'5.Closing Stock &amp; W Capital'!$D$15))+(G86*'5.Closing Stock &amp; W Capital'!$D$15))*$C$152*I$124</f>
        <v>0</v>
      </c>
      <c r="J154" s="80">
        <f>((I86*(1-'5.Closing Stock &amp; W Capital'!$D$15))+(H86*'5.Closing Stock &amp; W Capital'!$D$15))*$C$152*J$124</f>
        <v>0</v>
      </c>
      <c r="K154" s="78"/>
      <c r="U154" s="78"/>
      <c r="V154" s="78"/>
      <c r="W154" s="78"/>
    </row>
    <row r="155" spans="1:23" x14ac:dyDescent="0.2">
      <c r="A155" s="79" t="e">
        <f t="shared" si="52"/>
        <v>#REF!</v>
      </c>
      <c r="B155" s="79"/>
      <c r="C155" s="215"/>
      <c r="D155" s="80" t="e">
        <f>(C87*(1-'5.Closing Stock &amp; W Capital'!$D$15))*$C155*D$124</f>
        <v>#REF!</v>
      </c>
      <c r="E155" s="80" t="e">
        <f>((D87*(1-'5.Closing Stock &amp; W Capital'!$D$15))+(C87*'5.Closing Stock &amp; W Capital'!$D$15))*$C155*E$124</f>
        <v>#REF!</v>
      </c>
      <c r="F155" s="80" t="e">
        <f>((E87*(1-'5.Closing Stock &amp; W Capital'!$D$15))+(D87*'5.Closing Stock &amp; W Capital'!$D$15))*$C$152*F$124</f>
        <v>#REF!</v>
      </c>
      <c r="G155" s="80" t="e">
        <f>((F87*(1-'5.Closing Stock &amp; W Capital'!$D$15))+(E87*'5.Closing Stock &amp; W Capital'!$D$15))*$C$152*G$124</f>
        <v>#REF!</v>
      </c>
      <c r="H155" s="80" t="e">
        <f>((G87*(1-'5.Closing Stock &amp; W Capital'!$D$15))+(F87*'5.Closing Stock &amp; W Capital'!$D$15))*$C$152*H$124</f>
        <v>#REF!</v>
      </c>
      <c r="I155" s="80" t="e">
        <f>((H87*(1-'5.Closing Stock &amp; W Capital'!$D$15))+(G87*'5.Closing Stock &amp; W Capital'!$D$15))*$C$152*I$124</f>
        <v>#REF!</v>
      </c>
      <c r="J155" s="80" t="e">
        <f>((I87*(1-'5.Closing Stock &amp; W Capital'!$D$15))+(H87*'5.Closing Stock &amp; W Capital'!$D$15))*$C$152*J$124</f>
        <v>#REF!</v>
      </c>
      <c r="K155" s="78"/>
      <c r="U155" s="78"/>
      <c r="V155" s="78"/>
      <c r="W155" s="78"/>
    </row>
    <row r="156" spans="1:23" x14ac:dyDescent="0.2">
      <c r="A156" s="79" t="e">
        <f t="shared" si="52"/>
        <v>#REF!</v>
      </c>
      <c r="B156" s="79"/>
      <c r="C156" s="215"/>
      <c r="D156" s="80" t="e">
        <f>(C88*(1-'5.Closing Stock &amp; W Capital'!$D$15))*$C156*D$124</f>
        <v>#REF!</v>
      </c>
      <c r="E156" s="80" t="e">
        <f>((D88*(1-'5.Closing Stock &amp; W Capital'!$D$15))+(C88*'5.Closing Stock &amp; W Capital'!$D$15))*$C156*E$124</f>
        <v>#REF!</v>
      </c>
      <c r="F156" s="80" t="e">
        <f>((E88*(1-'5.Closing Stock &amp; W Capital'!$D$15))+(D88*'5.Closing Stock &amp; W Capital'!$D$15))*$C$152*F$124</f>
        <v>#REF!</v>
      </c>
      <c r="G156" s="80" t="e">
        <f>((F88*(1-'5.Closing Stock &amp; W Capital'!$D$15))+(E88*'5.Closing Stock &amp; W Capital'!$D$15))*$C$152*G$124</f>
        <v>#REF!</v>
      </c>
      <c r="H156" s="80" t="e">
        <f>((G88*(1-'5.Closing Stock &amp; W Capital'!$D$15))+(F88*'5.Closing Stock &amp; W Capital'!$D$15))*$C$152*H$124</f>
        <v>#REF!</v>
      </c>
      <c r="I156" s="80" t="e">
        <f>((H88*(1-'5.Closing Stock &amp; W Capital'!$D$15))+(G88*'5.Closing Stock &amp; W Capital'!$D$15))*$C$152*I$124</f>
        <v>#REF!</v>
      </c>
      <c r="J156" s="80" t="e">
        <f>((I88*(1-'5.Closing Stock &amp; W Capital'!$D$15))+(H88*'5.Closing Stock &amp; W Capital'!$D$15))*$C$152*J$124</f>
        <v>#REF!</v>
      </c>
      <c r="K156" s="78"/>
      <c r="U156" s="78"/>
      <c r="V156" s="78"/>
      <c r="W156" s="78"/>
    </row>
    <row r="157" spans="1:23" x14ac:dyDescent="0.2">
      <c r="A157" s="79">
        <f t="shared" si="52"/>
        <v>1</v>
      </c>
      <c r="B157" s="79"/>
      <c r="C157" s="215"/>
      <c r="D157" s="80" t="e">
        <f>(C89*(1-'5.Closing Stock &amp; W Capital'!$D$15))*$C157*D$124</f>
        <v>#VALUE!</v>
      </c>
      <c r="E157" s="80" t="e">
        <f>((D89*(1-'5.Closing Stock &amp; W Capital'!$D$15))+(C89*'5.Closing Stock &amp; W Capital'!$D$15))*$C157*E$124</f>
        <v>#VALUE!</v>
      </c>
      <c r="F157" s="80">
        <f>((E89*(1-'5.Closing Stock &amp; W Capital'!$D$15))+(D89*'5.Closing Stock &amp; W Capital'!$D$15))*$C$152*F$124</f>
        <v>0</v>
      </c>
      <c r="G157" s="80">
        <f>((F89*(1-'5.Closing Stock &amp; W Capital'!$D$15))+(E89*'5.Closing Stock &amp; W Capital'!$D$15))*$C$152*G$124</f>
        <v>0</v>
      </c>
      <c r="H157" s="80">
        <f>((G89*(1-'5.Closing Stock &amp; W Capital'!$D$15))+(F89*'5.Closing Stock &amp; W Capital'!$D$15))*$C$152*H$124</f>
        <v>0</v>
      </c>
      <c r="I157" s="80">
        <f>((H89*(1-'5.Closing Stock &amp; W Capital'!$D$15))+(G89*'5.Closing Stock &amp; W Capital'!$D$15))*$C$152*I$124</f>
        <v>0</v>
      </c>
      <c r="J157" s="80">
        <f>((I89*(1-'5.Closing Stock &amp; W Capital'!$D$15))+(H89*'5.Closing Stock &amp; W Capital'!$D$15))*$C$152*J$124</f>
        <v>0</v>
      </c>
      <c r="K157" s="78"/>
      <c r="U157" s="78"/>
      <c r="V157" s="78"/>
      <c r="W157" s="78"/>
    </row>
    <row r="158" spans="1:23" x14ac:dyDescent="0.2">
      <c r="A158" s="79" t="e">
        <f t="shared" si="52"/>
        <v>#REF!</v>
      </c>
      <c r="B158" s="79"/>
      <c r="C158" s="215"/>
      <c r="D158" s="80" t="e">
        <f>(C90*(1-'5.Closing Stock &amp; W Capital'!$D$15))*$C158*D$124</f>
        <v>#REF!</v>
      </c>
      <c r="E158" s="80" t="e">
        <f>((D90*(1-'5.Closing Stock &amp; W Capital'!$D$15))+(C90*'5.Closing Stock &amp; W Capital'!$D$15))*$C158*E$124</f>
        <v>#REF!</v>
      </c>
      <c r="F158" s="80" t="e">
        <f>((E90*(1-'5.Closing Stock &amp; W Capital'!$D$15))+(D90*'5.Closing Stock &amp; W Capital'!$D$15))*$C$152*F$124</f>
        <v>#REF!</v>
      </c>
      <c r="G158" s="80" t="e">
        <f>((F90*(1-'5.Closing Stock &amp; W Capital'!$D$15))+(E90*'5.Closing Stock &amp; W Capital'!$D$15))*$C$152*G$124</f>
        <v>#REF!</v>
      </c>
      <c r="H158" s="80" t="e">
        <f>((G90*(1-'5.Closing Stock &amp; W Capital'!$D$15))+(F90*'5.Closing Stock &amp; W Capital'!$D$15))*$C$152*H$124</f>
        <v>#REF!</v>
      </c>
      <c r="I158" s="80" t="e">
        <f>((H90*(1-'5.Closing Stock &amp; W Capital'!$D$15))+(G90*'5.Closing Stock &amp; W Capital'!$D$15))*$C$152*I$124</f>
        <v>#REF!</v>
      </c>
      <c r="J158" s="80" t="e">
        <f>((I90*(1-'5.Closing Stock &amp; W Capital'!$D$15))+(H90*'5.Closing Stock &amp; W Capital'!$D$15))*$C$152*J$124</f>
        <v>#REF!</v>
      </c>
      <c r="K158" s="78"/>
      <c r="U158" s="78"/>
      <c r="V158" s="78"/>
      <c r="W158" s="78"/>
    </row>
    <row r="159" spans="1:23" x14ac:dyDescent="0.2">
      <c r="A159" s="79" t="e">
        <f t="shared" si="52"/>
        <v>#REF!</v>
      </c>
      <c r="B159" s="79"/>
      <c r="C159" s="215"/>
      <c r="D159" s="80" t="e">
        <f>(C91*(1-'5.Closing Stock &amp; W Capital'!$D$15))*$C159*D$124</f>
        <v>#REF!</v>
      </c>
      <c r="E159" s="80" t="e">
        <f>((D91*(1-'5.Closing Stock &amp; W Capital'!$D$15))+(C91*'5.Closing Stock &amp; W Capital'!$D$15))*$C159*E$124</f>
        <v>#REF!</v>
      </c>
      <c r="F159" s="80" t="e">
        <f>((E91*(1-'5.Closing Stock &amp; W Capital'!$D$15))+(D91*'5.Closing Stock &amp; W Capital'!$D$15))*$C$152*F$124</f>
        <v>#REF!</v>
      </c>
      <c r="G159" s="80" t="e">
        <f>((F91*(1-'5.Closing Stock &amp; W Capital'!$D$15))+(E91*'5.Closing Stock &amp; W Capital'!$D$15))*$C$152*G$124</f>
        <v>#REF!</v>
      </c>
      <c r="H159" s="80" t="e">
        <f>((G91*(1-'5.Closing Stock &amp; W Capital'!$D$15))+(F91*'5.Closing Stock &amp; W Capital'!$D$15))*$C$152*H$124</f>
        <v>#REF!</v>
      </c>
      <c r="I159" s="80" t="e">
        <f>((H91*(1-'5.Closing Stock &amp; W Capital'!$D$15))+(G91*'5.Closing Stock &amp; W Capital'!$D$15))*$C$152*I$124</f>
        <v>#REF!</v>
      </c>
      <c r="J159" s="80" t="e">
        <f>((I91*(1-'5.Closing Stock &amp; W Capital'!$D$15))+(H91*'5.Closing Stock &amp; W Capital'!$D$15))*$C$152*J$124</f>
        <v>#REF!</v>
      </c>
      <c r="K159" s="78"/>
      <c r="U159" s="78"/>
      <c r="V159" s="78"/>
      <c r="W159" s="78"/>
    </row>
    <row r="160" spans="1:23" x14ac:dyDescent="0.2">
      <c r="A160" s="79" t="e">
        <f t="shared" si="52"/>
        <v>#REF!</v>
      </c>
      <c r="B160" s="79"/>
      <c r="C160" s="215"/>
      <c r="D160" s="80" t="e">
        <f>(C92*(1-'5.Closing Stock &amp; W Capital'!$D$15))*$C160*D$124</f>
        <v>#REF!</v>
      </c>
      <c r="E160" s="80" t="e">
        <f>((D92*(1-'5.Closing Stock &amp; W Capital'!$D$15))+(C92*'5.Closing Stock &amp; W Capital'!$D$15))*$C160*E$124</f>
        <v>#REF!</v>
      </c>
      <c r="F160" s="80" t="e">
        <f>((E92*(1-'5.Closing Stock &amp; W Capital'!$D$15))+(D92*'5.Closing Stock &amp; W Capital'!$D$15))*$C$152*F$124</f>
        <v>#REF!</v>
      </c>
      <c r="G160" s="80" t="e">
        <f>((F92*(1-'5.Closing Stock &amp; W Capital'!$D$15))+(E92*'5.Closing Stock &amp; W Capital'!$D$15))*$C$152*G$124</f>
        <v>#REF!</v>
      </c>
      <c r="H160" s="80" t="e">
        <f>((G92*(1-'5.Closing Stock &amp; W Capital'!$D$15))+(F92*'5.Closing Stock &amp; W Capital'!$D$15))*$C$152*H$124</f>
        <v>#REF!</v>
      </c>
      <c r="I160" s="80" t="e">
        <f>((H92*(1-'5.Closing Stock &amp; W Capital'!$D$15))+(G92*'5.Closing Stock &amp; W Capital'!$D$15))*$C$152*I$124</f>
        <v>#REF!</v>
      </c>
      <c r="J160" s="80" t="e">
        <f>((I92*(1-'5.Closing Stock &amp; W Capital'!$D$15))+(H92*'5.Closing Stock &amp; W Capital'!$D$15))*$C$152*J$124</f>
        <v>#REF!</v>
      </c>
      <c r="K160" s="78"/>
      <c r="U160" s="78"/>
      <c r="V160" s="78"/>
      <c r="W160" s="78"/>
    </row>
    <row r="161" spans="1:23" x14ac:dyDescent="0.2">
      <c r="A161" s="79" t="e">
        <f t="shared" ref="A161:A179" si="53">A40</f>
        <v>#REF!</v>
      </c>
      <c r="B161" s="79"/>
      <c r="C161" s="215"/>
      <c r="D161" s="80" t="e">
        <f>(C93*(1-'5.Closing Stock &amp; W Capital'!$D$15))*$C161*D$124</f>
        <v>#REF!</v>
      </c>
      <c r="E161" s="80" t="e">
        <f>((D93*(1-'5.Closing Stock &amp; W Capital'!$D$15))+(C93*'5.Closing Stock &amp; W Capital'!$D$15))*$C161*E$124</f>
        <v>#REF!</v>
      </c>
      <c r="F161" s="80" t="e">
        <f>((E93*(1-'5.Closing Stock &amp; W Capital'!$D$15))+(D93*'5.Closing Stock &amp; W Capital'!$D$15))*$C$152*F$124</f>
        <v>#REF!</v>
      </c>
      <c r="G161" s="80" t="e">
        <f>((F93*(1-'5.Closing Stock &amp; W Capital'!$D$15))+(E93*'5.Closing Stock &amp; W Capital'!$D$15))*$C$152*G$124</f>
        <v>#REF!</v>
      </c>
      <c r="H161" s="80" t="e">
        <f>((G93*(1-'5.Closing Stock &amp; W Capital'!$D$15))+(F93*'5.Closing Stock &amp; W Capital'!$D$15))*$C$152*H$124</f>
        <v>#REF!</v>
      </c>
      <c r="I161" s="80" t="e">
        <f>((H93*(1-'5.Closing Stock &amp; W Capital'!$D$15))+(G93*'5.Closing Stock &amp; W Capital'!$D$15))*$C$152*I$124</f>
        <v>#REF!</v>
      </c>
      <c r="J161" s="80" t="e">
        <f>((I93*(1-'5.Closing Stock &amp; W Capital'!$D$15))+(H93*'5.Closing Stock &amp; W Capital'!$D$15))*$C$152*J$124</f>
        <v>#REF!</v>
      </c>
      <c r="K161" s="78"/>
      <c r="U161" s="78"/>
      <c r="V161" s="78"/>
      <c r="W161" s="78"/>
    </row>
    <row r="162" spans="1:23" x14ac:dyDescent="0.2">
      <c r="A162" s="79" t="e">
        <f t="shared" si="53"/>
        <v>#REF!</v>
      </c>
      <c r="B162" s="79"/>
      <c r="C162" s="215"/>
      <c r="D162" s="80" t="e">
        <f>(C94*(1-'5.Closing Stock &amp; W Capital'!$D$15))*$C162*D$124</f>
        <v>#REF!</v>
      </c>
      <c r="E162" s="80" t="e">
        <f>((D94*(1-'5.Closing Stock &amp; W Capital'!$D$15))+(C94*'5.Closing Stock &amp; W Capital'!$D$15))*$C162*E$124</f>
        <v>#REF!</v>
      </c>
      <c r="F162" s="80" t="e">
        <f>((E94*(1-'5.Closing Stock &amp; W Capital'!$D$15))+(D94*'5.Closing Stock &amp; W Capital'!$D$15))*$C$152*F$124</f>
        <v>#REF!</v>
      </c>
      <c r="G162" s="80" t="e">
        <f>((F94*(1-'5.Closing Stock &amp; W Capital'!$D$15))+(E94*'5.Closing Stock &amp; W Capital'!$D$15))*$C$152*G$124</f>
        <v>#REF!</v>
      </c>
      <c r="H162" s="80" t="e">
        <f>((G94*(1-'5.Closing Stock &amp; W Capital'!$D$15))+(F94*'5.Closing Stock &amp; W Capital'!$D$15))*$C$152*H$124</f>
        <v>#REF!</v>
      </c>
      <c r="I162" s="80" t="e">
        <f>((H94*(1-'5.Closing Stock &amp; W Capital'!$D$15))+(G94*'5.Closing Stock &amp; W Capital'!$D$15))*$C$152*I$124</f>
        <v>#REF!</v>
      </c>
      <c r="J162" s="80" t="e">
        <f>((I94*(1-'5.Closing Stock &amp; W Capital'!$D$15))+(H94*'5.Closing Stock &amp; W Capital'!$D$15))*$C$152*J$124</f>
        <v>#REF!</v>
      </c>
      <c r="K162" s="78"/>
      <c r="U162" s="78"/>
      <c r="V162" s="78"/>
      <c r="W162" s="78"/>
    </row>
    <row r="163" spans="1:23" x14ac:dyDescent="0.2">
      <c r="A163" s="79" t="e">
        <f t="shared" si="53"/>
        <v>#REF!</v>
      </c>
      <c r="B163" s="79"/>
      <c r="C163" s="215"/>
      <c r="D163" s="80" t="e">
        <f>(C95*(1-'5.Closing Stock &amp; W Capital'!$D$15))*$C163*D$124</f>
        <v>#REF!</v>
      </c>
      <c r="E163" s="80" t="e">
        <f>((D95*(1-'5.Closing Stock &amp; W Capital'!$D$15))+(C95*'5.Closing Stock &amp; W Capital'!$D$15))*$C163*E$124</f>
        <v>#REF!</v>
      </c>
      <c r="F163" s="80" t="e">
        <f>((E95*(1-'5.Closing Stock &amp; W Capital'!$D$15))+(D95*'5.Closing Stock &amp; W Capital'!$D$15))*$C$152*F$124</f>
        <v>#REF!</v>
      </c>
      <c r="G163" s="80" t="e">
        <f>((F95*(1-'5.Closing Stock &amp; W Capital'!$D$15))+(E95*'5.Closing Stock &amp; W Capital'!$D$15))*$C$152*G$124</f>
        <v>#REF!</v>
      </c>
      <c r="H163" s="80" t="e">
        <f>((G95*(1-'5.Closing Stock &amp; W Capital'!$D$15))+(F95*'5.Closing Stock &amp; W Capital'!$D$15))*$C$152*H$124</f>
        <v>#REF!</v>
      </c>
      <c r="I163" s="80" t="e">
        <f>((H95*(1-'5.Closing Stock &amp; W Capital'!$D$15))+(G95*'5.Closing Stock &amp; W Capital'!$D$15))*$C$152*I$124</f>
        <v>#REF!</v>
      </c>
      <c r="J163" s="80" t="e">
        <f>((I95*(1-'5.Closing Stock &amp; W Capital'!$D$15))+(H95*'5.Closing Stock &amp; W Capital'!$D$15))*$C$152*J$124</f>
        <v>#REF!</v>
      </c>
      <c r="K163" s="78"/>
      <c r="U163" s="78"/>
      <c r="V163" s="78"/>
      <c r="W163" s="78"/>
    </row>
    <row r="164" spans="1:23" x14ac:dyDescent="0.2">
      <c r="A164" s="79" t="e">
        <f t="shared" si="53"/>
        <v>#REF!</v>
      </c>
      <c r="B164" s="79"/>
      <c r="C164" s="215"/>
      <c r="D164" s="80" t="e">
        <f>(C96*(1-'5.Closing Stock &amp; W Capital'!$D$15))*$C164*D$124</f>
        <v>#REF!</v>
      </c>
      <c r="E164" s="80" t="e">
        <f>((D96*(1-'5.Closing Stock &amp; W Capital'!$D$15))+(C96*'5.Closing Stock &amp; W Capital'!$D$15))*$C164*E$124</f>
        <v>#REF!</v>
      </c>
      <c r="F164" s="80" t="e">
        <f>((E96*(1-'5.Closing Stock &amp; W Capital'!$D$15))+(D96*'5.Closing Stock &amp; W Capital'!$D$15))*$C$152*F$124</f>
        <v>#REF!</v>
      </c>
      <c r="G164" s="80" t="e">
        <f>((F96*(1-'5.Closing Stock &amp; W Capital'!$D$15))+(E96*'5.Closing Stock &amp; W Capital'!$D$15))*$C$152*G$124</f>
        <v>#REF!</v>
      </c>
      <c r="H164" s="80" t="e">
        <f>((G96*(1-'5.Closing Stock &amp; W Capital'!$D$15))+(F96*'5.Closing Stock &amp; W Capital'!$D$15))*$C$152*H$124</f>
        <v>#REF!</v>
      </c>
      <c r="I164" s="80" t="e">
        <f>((H96*(1-'5.Closing Stock &amp; W Capital'!$D$15))+(G96*'5.Closing Stock &amp; W Capital'!$D$15))*$C$152*I$124</f>
        <v>#REF!</v>
      </c>
      <c r="J164" s="80" t="e">
        <f>((I96*(1-'5.Closing Stock &amp; W Capital'!$D$15))+(H96*'5.Closing Stock &amp; W Capital'!$D$15))*$C$152*J$124</f>
        <v>#REF!</v>
      </c>
      <c r="K164" s="78"/>
      <c r="U164" s="78"/>
      <c r="V164" s="78"/>
      <c r="W164" s="78"/>
    </row>
    <row r="165" spans="1:23" x14ac:dyDescent="0.2">
      <c r="A165" s="79" t="e">
        <f t="shared" si="53"/>
        <v>#REF!</v>
      </c>
      <c r="B165" s="79"/>
      <c r="C165" s="215"/>
      <c r="D165" s="80" t="e">
        <f>(C97*(1-'5.Closing Stock &amp; W Capital'!$D$15))*$C165*D$124</f>
        <v>#REF!</v>
      </c>
      <c r="E165" s="80" t="e">
        <f>((D97*(1-'5.Closing Stock &amp; W Capital'!$D$15))+(C97*'5.Closing Stock &amp; W Capital'!$D$15))*$C165*E$124</f>
        <v>#REF!</v>
      </c>
      <c r="F165" s="80" t="e">
        <f>((E97*(1-'5.Closing Stock &amp; W Capital'!$D$15))+(D97*'5.Closing Stock &amp; W Capital'!$D$15))*$C$152*F$124</f>
        <v>#REF!</v>
      </c>
      <c r="G165" s="80" t="e">
        <f>((F97*(1-'5.Closing Stock &amp; W Capital'!$D$15))+(E97*'5.Closing Stock &amp; W Capital'!$D$15))*$C$152*G$124</f>
        <v>#REF!</v>
      </c>
      <c r="H165" s="80" t="e">
        <f>((G97*(1-'5.Closing Stock &amp; W Capital'!$D$15))+(F97*'5.Closing Stock &amp; W Capital'!$D$15))*$C$152*H$124</f>
        <v>#REF!</v>
      </c>
      <c r="I165" s="80" t="e">
        <f>((H97*(1-'5.Closing Stock &amp; W Capital'!$D$15))+(G97*'5.Closing Stock &amp; W Capital'!$D$15))*$C$152*I$124</f>
        <v>#REF!</v>
      </c>
      <c r="J165" s="80" t="e">
        <f>((I97*(1-'5.Closing Stock &amp; W Capital'!$D$15))+(H97*'5.Closing Stock &amp; W Capital'!$D$15))*$C$152*J$124</f>
        <v>#REF!</v>
      </c>
      <c r="K165" s="78"/>
      <c r="U165" s="78"/>
      <c r="V165" s="78"/>
      <c r="W165" s="78"/>
    </row>
    <row r="166" spans="1:23" x14ac:dyDescent="0.2">
      <c r="A166" s="79" t="e">
        <f t="shared" si="53"/>
        <v>#REF!</v>
      </c>
      <c r="B166" s="79"/>
      <c r="C166" s="215"/>
      <c r="D166" s="80" t="e">
        <f>(C98*(1-'5.Closing Stock &amp; W Capital'!$D$15))*$C166*D$124</f>
        <v>#REF!</v>
      </c>
      <c r="E166" s="80" t="e">
        <f>((D98*(1-'5.Closing Stock &amp; W Capital'!$D$15))+(C98*'5.Closing Stock &amp; W Capital'!$D$15))*$C166*E$124</f>
        <v>#REF!</v>
      </c>
      <c r="F166" s="80" t="e">
        <f>((E98*(1-'5.Closing Stock &amp; W Capital'!$D$15))+(D98*'5.Closing Stock &amp; W Capital'!$D$15))*$C$152*F$124</f>
        <v>#REF!</v>
      </c>
      <c r="G166" s="80" t="e">
        <f>((F98*(1-'5.Closing Stock &amp; W Capital'!$D$15))+(E98*'5.Closing Stock &amp; W Capital'!$D$15))*$C$152*G$124</f>
        <v>#REF!</v>
      </c>
      <c r="H166" s="80" t="e">
        <f>((G98*(1-'5.Closing Stock &amp; W Capital'!$D$15))+(F98*'5.Closing Stock &amp; W Capital'!$D$15))*$C$152*H$124</f>
        <v>#REF!</v>
      </c>
      <c r="I166" s="80" t="e">
        <f>((H98*(1-'5.Closing Stock &amp; W Capital'!$D$15))+(G98*'5.Closing Stock &amp; W Capital'!$D$15))*$C$152*I$124</f>
        <v>#REF!</v>
      </c>
      <c r="J166" s="80" t="e">
        <f>((I98*(1-'5.Closing Stock &amp; W Capital'!$D$15))+(H98*'5.Closing Stock &amp; W Capital'!$D$15))*$C$152*J$124</f>
        <v>#REF!</v>
      </c>
      <c r="K166" s="78"/>
      <c r="U166" s="78"/>
      <c r="V166" s="78"/>
      <c r="W166" s="78"/>
    </row>
    <row r="167" spans="1:23" x14ac:dyDescent="0.2">
      <c r="A167" s="79" t="e">
        <f t="shared" si="53"/>
        <v>#REF!</v>
      </c>
      <c r="B167" s="79"/>
      <c r="C167" s="215"/>
      <c r="D167" s="80" t="e">
        <f>(C99*(1-'5.Closing Stock &amp; W Capital'!$D$15))*$C167*D$124</f>
        <v>#REF!</v>
      </c>
      <c r="E167" s="80" t="e">
        <f>((D99*(1-'5.Closing Stock &amp; W Capital'!$D$15))+(C99*'5.Closing Stock &amp; W Capital'!$D$15))*$C167*E$124</f>
        <v>#REF!</v>
      </c>
      <c r="F167" s="80" t="e">
        <f>((E99*(1-'5.Closing Stock &amp; W Capital'!$D$15))+(D99*'5.Closing Stock &amp; W Capital'!$D$15))*$C$152*F$124</f>
        <v>#REF!</v>
      </c>
      <c r="G167" s="80" t="e">
        <f>((F99*(1-'5.Closing Stock &amp; W Capital'!$D$15))+(E99*'5.Closing Stock &amp; W Capital'!$D$15))*$C$152*G$124</f>
        <v>#REF!</v>
      </c>
      <c r="H167" s="80" t="e">
        <f>((G99*(1-'5.Closing Stock &amp; W Capital'!$D$15))+(F99*'5.Closing Stock &amp; W Capital'!$D$15))*$C$152*H$124</f>
        <v>#REF!</v>
      </c>
      <c r="I167" s="80" t="e">
        <f>((H99*(1-'5.Closing Stock &amp; W Capital'!$D$15))+(G99*'5.Closing Stock &amp; W Capital'!$D$15))*$C$152*I$124</f>
        <v>#REF!</v>
      </c>
      <c r="J167" s="80" t="e">
        <f>((I99*(1-'5.Closing Stock &amp; W Capital'!$D$15))+(H99*'5.Closing Stock &amp; W Capital'!$D$15))*$C$152*J$124</f>
        <v>#REF!</v>
      </c>
      <c r="K167" s="78"/>
      <c r="U167" s="78"/>
      <c r="V167" s="78"/>
      <c r="W167" s="78"/>
    </row>
    <row r="168" spans="1:23" x14ac:dyDescent="0.2">
      <c r="A168" s="79" t="e">
        <f t="shared" si="53"/>
        <v>#REF!</v>
      </c>
      <c r="B168" s="79"/>
      <c r="C168" s="215"/>
      <c r="D168" s="80" t="e">
        <f>(C100*(1-'5.Closing Stock &amp; W Capital'!$D$15))*$C168*D$124</f>
        <v>#REF!</v>
      </c>
      <c r="E168" s="80" t="e">
        <f>((D100*(1-'5.Closing Stock &amp; W Capital'!$D$15))+(C100*'5.Closing Stock &amp; W Capital'!$D$15))*$C168*E$124</f>
        <v>#REF!</v>
      </c>
      <c r="F168" s="80" t="e">
        <f>((E100*(1-'5.Closing Stock &amp; W Capital'!$D$15))+(D100*'5.Closing Stock &amp; W Capital'!$D$15))*$C$152*F$124</f>
        <v>#REF!</v>
      </c>
      <c r="G168" s="80" t="e">
        <f>((F100*(1-'5.Closing Stock &amp; W Capital'!$D$15))+(E100*'5.Closing Stock &amp; W Capital'!$D$15))*$C$152*G$124</f>
        <v>#REF!</v>
      </c>
      <c r="H168" s="80" t="e">
        <f>((G100*(1-'5.Closing Stock &amp; W Capital'!$D$15))+(F100*'5.Closing Stock &amp; W Capital'!$D$15))*$C$152*H$124</f>
        <v>#REF!</v>
      </c>
      <c r="I168" s="80" t="e">
        <f>((H100*(1-'5.Closing Stock &amp; W Capital'!$D$15))+(G100*'5.Closing Stock &amp; W Capital'!$D$15))*$C$152*I$124</f>
        <v>#REF!</v>
      </c>
      <c r="J168" s="80" t="e">
        <f>((I100*(1-'5.Closing Stock &amp; W Capital'!$D$15))+(H100*'5.Closing Stock &amp; W Capital'!$D$15))*$C$152*J$124</f>
        <v>#REF!</v>
      </c>
      <c r="K168" s="78"/>
      <c r="U168" s="78"/>
      <c r="V168" s="78"/>
      <c r="W168" s="78"/>
    </row>
    <row r="169" spans="1:23" x14ac:dyDescent="0.2">
      <c r="A169" s="79" t="e">
        <f t="shared" si="53"/>
        <v>#REF!</v>
      </c>
      <c r="B169" s="79"/>
      <c r="C169" s="215"/>
      <c r="D169" s="80" t="e">
        <f>(C101*(1-'5.Closing Stock &amp; W Capital'!$D$15))*$C169*D$124</f>
        <v>#REF!</v>
      </c>
      <c r="E169" s="80" t="e">
        <f>((D101*(1-'5.Closing Stock &amp; W Capital'!$D$15))+(C101*'5.Closing Stock &amp; W Capital'!$D$15))*$C169*E$124</f>
        <v>#REF!</v>
      </c>
      <c r="F169" s="80" t="e">
        <f>((E101*(1-'5.Closing Stock &amp; W Capital'!$D$15))+(D101*'5.Closing Stock &amp; W Capital'!$D$15))*$C$152*F$124</f>
        <v>#REF!</v>
      </c>
      <c r="G169" s="80" t="e">
        <f>((F101*(1-'5.Closing Stock &amp; W Capital'!$D$15))+(E101*'5.Closing Stock &amp; W Capital'!$D$15))*$C$152*G$124</f>
        <v>#REF!</v>
      </c>
      <c r="H169" s="80" t="e">
        <f>((G101*(1-'5.Closing Stock &amp; W Capital'!$D$15))+(F101*'5.Closing Stock &amp; W Capital'!$D$15))*$C$152*H$124</f>
        <v>#REF!</v>
      </c>
      <c r="I169" s="80" t="e">
        <f>((H101*(1-'5.Closing Stock &amp; W Capital'!$D$15))+(G101*'5.Closing Stock &amp; W Capital'!$D$15))*$C$152*I$124</f>
        <v>#REF!</v>
      </c>
      <c r="J169" s="80" t="e">
        <f>((I101*(1-'5.Closing Stock &amp; W Capital'!$D$15))+(H101*'5.Closing Stock &amp; W Capital'!$D$15))*$C$152*J$124</f>
        <v>#REF!</v>
      </c>
      <c r="K169" s="78"/>
      <c r="U169" s="78"/>
      <c r="V169" s="78"/>
      <c r="W169" s="78"/>
    </row>
    <row r="170" spans="1:23" x14ac:dyDescent="0.2">
      <c r="A170" s="79" t="e">
        <f t="shared" si="53"/>
        <v>#REF!</v>
      </c>
      <c r="B170" s="79"/>
      <c r="C170" s="215"/>
      <c r="D170" s="80" t="e">
        <f>(C102*(1-'5.Closing Stock &amp; W Capital'!$D$15))*$C170*D$124</f>
        <v>#REF!</v>
      </c>
      <c r="E170" s="80" t="e">
        <f>((D102*(1-'5.Closing Stock &amp; W Capital'!$D$15))+(C102*'5.Closing Stock &amp; W Capital'!$D$15))*$C170*E$124</f>
        <v>#REF!</v>
      </c>
      <c r="F170" s="80" t="e">
        <f>((E102*(1-'5.Closing Stock &amp; W Capital'!$D$15))+(D102*'5.Closing Stock &amp; W Capital'!$D$15))*$C$152*F$124</f>
        <v>#REF!</v>
      </c>
      <c r="G170" s="80" t="e">
        <f>((F102*(1-'5.Closing Stock &amp; W Capital'!$D$15))+(E102*'5.Closing Stock &amp; W Capital'!$D$15))*$C$152*G$124</f>
        <v>#REF!</v>
      </c>
      <c r="H170" s="80" t="e">
        <f>((G102*(1-'5.Closing Stock &amp; W Capital'!$D$15))+(F102*'5.Closing Stock &amp; W Capital'!$D$15))*$C$152*H$124</f>
        <v>#REF!</v>
      </c>
      <c r="I170" s="80" t="e">
        <f>((H102*(1-'5.Closing Stock &amp; W Capital'!$D$15))+(G102*'5.Closing Stock &amp; W Capital'!$D$15))*$C$152*I$124</f>
        <v>#REF!</v>
      </c>
      <c r="J170" s="80" t="e">
        <f>((I102*(1-'5.Closing Stock &amp; W Capital'!$D$15))+(H102*'5.Closing Stock &amp; W Capital'!$D$15))*$C$152*J$124</f>
        <v>#REF!</v>
      </c>
      <c r="K170" s="78"/>
      <c r="U170" s="78"/>
      <c r="V170" s="78"/>
      <c r="W170" s="78"/>
    </row>
    <row r="171" spans="1:23" x14ac:dyDescent="0.2">
      <c r="A171" s="79" t="e">
        <f t="shared" si="53"/>
        <v>#REF!</v>
      </c>
      <c r="B171" s="79"/>
      <c r="C171" s="215"/>
      <c r="D171" s="80" t="e">
        <f>(C103*(1-'5.Closing Stock &amp; W Capital'!$D$15))*$C171*D$124</f>
        <v>#REF!</v>
      </c>
      <c r="E171" s="80" t="e">
        <f>((D103*(1-'5.Closing Stock &amp; W Capital'!$D$15))+(C103*'5.Closing Stock &amp; W Capital'!$D$15))*$C171*E$124</f>
        <v>#REF!</v>
      </c>
      <c r="F171" s="80" t="e">
        <f>((E103*(1-'5.Closing Stock &amp; W Capital'!$D$15))+(D103*'5.Closing Stock &amp; W Capital'!$D$15))*$C$152*F$124</f>
        <v>#REF!</v>
      </c>
      <c r="G171" s="80" t="e">
        <f>((F103*(1-'5.Closing Stock &amp; W Capital'!$D$15))+(E103*'5.Closing Stock &amp; W Capital'!$D$15))*$C$152*G$124</f>
        <v>#REF!</v>
      </c>
      <c r="H171" s="80" t="e">
        <f>((G103*(1-'5.Closing Stock &amp; W Capital'!$D$15))+(F103*'5.Closing Stock &amp; W Capital'!$D$15))*$C$152*H$124</f>
        <v>#REF!</v>
      </c>
      <c r="I171" s="80" t="e">
        <f>((H103*(1-'5.Closing Stock &amp; W Capital'!$D$15))+(G103*'5.Closing Stock &amp; W Capital'!$D$15))*$C$152*I$124</f>
        <v>#REF!</v>
      </c>
      <c r="J171" s="80" t="e">
        <f>((I103*(1-'5.Closing Stock &amp; W Capital'!$D$15))+(H103*'5.Closing Stock &amp; W Capital'!$D$15))*$C$152*J$124</f>
        <v>#REF!</v>
      </c>
      <c r="K171" s="78"/>
      <c r="U171" s="78"/>
      <c r="V171" s="78"/>
      <c r="W171" s="78"/>
    </row>
    <row r="172" spans="1:23" x14ac:dyDescent="0.2">
      <c r="A172" s="79" t="e">
        <f t="shared" si="53"/>
        <v>#REF!</v>
      </c>
      <c r="B172" s="79"/>
      <c r="C172" s="215"/>
      <c r="D172" s="80" t="e">
        <f>(C104*(1-'5.Closing Stock &amp; W Capital'!$D$15))*$C172*D$124</f>
        <v>#REF!</v>
      </c>
      <c r="E172" s="80" t="e">
        <f>((D104*(1-'5.Closing Stock &amp; W Capital'!$D$15))+(C104*'5.Closing Stock &amp; W Capital'!$D$15))*$C172*E$124</f>
        <v>#REF!</v>
      </c>
      <c r="F172" s="80" t="e">
        <f>((E104*(1-'5.Closing Stock &amp; W Capital'!$D$15))+(D104*'5.Closing Stock &amp; W Capital'!$D$15))*$C$152*F$124</f>
        <v>#REF!</v>
      </c>
      <c r="G172" s="80" t="e">
        <f>((F104*(1-'5.Closing Stock &amp; W Capital'!$D$15))+(E104*'5.Closing Stock &amp; W Capital'!$D$15))*$C$152*G$124</f>
        <v>#REF!</v>
      </c>
      <c r="H172" s="80" t="e">
        <f>((G104*(1-'5.Closing Stock &amp; W Capital'!$D$15))+(F104*'5.Closing Stock &amp; W Capital'!$D$15))*$C$152*H$124</f>
        <v>#REF!</v>
      </c>
      <c r="I172" s="80" t="e">
        <f>((H104*(1-'5.Closing Stock &amp; W Capital'!$D$15))+(G104*'5.Closing Stock &amp; W Capital'!$D$15))*$C$152*I$124</f>
        <v>#REF!</v>
      </c>
      <c r="J172" s="80" t="e">
        <f>((I104*(1-'5.Closing Stock &amp; W Capital'!$D$15))+(H104*'5.Closing Stock &amp; W Capital'!$D$15))*$C$152*J$124</f>
        <v>#REF!</v>
      </c>
      <c r="K172" s="78"/>
      <c r="U172" s="78"/>
      <c r="V172" s="78"/>
      <c r="W172" s="78"/>
    </row>
    <row r="173" spans="1:23" x14ac:dyDescent="0.2">
      <c r="A173" s="79" t="e">
        <f t="shared" si="53"/>
        <v>#REF!</v>
      </c>
      <c r="B173" s="79"/>
      <c r="C173" s="215"/>
      <c r="D173" s="80" t="e">
        <f>(C105*(1-'5.Closing Stock &amp; W Capital'!$D$15))*$C173*D$124</f>
        <v>#REF!</v>
      </c>
      <c r="E173" s="80" t="e">
        <f>((D105*(1-'5.Closing Stock &amp; W Capital'!$D$15))+(C105*'5.Closing Stock &amp; W Capital'!$D$15))*$C173*E$124</f>
        <v>#REF!</v>
      </c>
      <c r="F173" s="80" t="e">
        <f>((E105*(1-'5.Closing Stock &amp; W Capital'!$D$15))+(D105*'5.Closing Stock &amp; W Capital'!$D$15))*$C$152*F$124</f>
        <v>#REF!</v>
      </c>
      <c r="G173" s="80" t="e">
        <f>((F105*(1-'5.Closing Stock &amp; W Capital'!$D$15))+(E105*'5.Closing Stock &amp; W Capital'!$D$15))*$C$152*G$124</f>
        <v>#REF!</v>
      </c>
      <c r="H173" s="80" t="e">
        <f>((G105*(1-'5.Closing Stock &amp; W Capital'!$D$15))+(F105*'5.Closing Stock &amp; W Capital'!$D$15))*$C$152*H$124</f>
        <v>#REF!</v>
      </c>
      <c r="I173" s="80" t="e">
        <f>((H105*(1-'5.Closing Stock &amp; W Capital'!$D$15))+(G105*'5.Closing Stock &amp; W Capital'!$D$15))*$C$152*I$124</f>
        <v>#REF!</v>
      </c>
      <c r="J173" s="80" t="e">
        <f>((I105*(1-'5.Closing Stock &amp; W Capital'!$D$15))+(H105*'5.Closing Stock &amp; W Capital'!$D$15))*$C$152*J$124</f>
        <v>#REF!</v>
      </c>
      <c r="K173" s="78"/>
      <c r="U173" s="78"/>
      <c r="V173" s="78"/>
      <c r="W173" s="78"/>
    </row>
    <row r="174" spans="1:23" x14ac:dyDescent="0.2">
      <c r="A174" s="79" t="e">
        <f t="shared" si="53"/>
        <v>#REF!</v>
      </c>
      <c r="B174" s="79"/>
      <c r="C174" s="215"/>
      <c r="D174" s="80" t="e">
        <f>(C106*(1-'5.Closing Stock &amp; W Capital'!$D$15))*$C174*D$124</f>
        <v>#REF!</v>
      </c>
      <c r="E174" s="80" t="e">
        <f>((D106*(1-'5.Closing Stock &amp; W Capital'!$D$15))+(C106*'5.Closing Stock &amp; W Capital'!$D$15))*$C174*E$124</f>
        <v>#REF!</v>
      </c>
      <c r="F174" s="80" t="e">
        <f>((E106*(1-'5.Closing Stock &amp; W Capital'!$D$15))+(D106*'5.Closing Stock &amp; W Capital'!$D$15))*$C$152*F$124</f>
        <v>#REF!</v>
      </c>
      <c r="G174" s="80" t="e">
        <f>((F106*(1-'5.Closing Stock &amp; W Capital'!$D$15))+(E106*'5.Closing Stock &amp; W Capital'!$D$15))*$C$152*G$124</f>
        <v>#REF!</v>
      </c>
      <c r="H174" s="80" t="e">
        <f>((G106*(1-'5.Closing Stock &amp; W Capital'!$D$15))+(F106*'5.Closing Stock &amp; W Capital'!$D$15))*$C$152*H$124</f>
        <v>#REF!</v>
      </c>
      <c r="I174" s="80" t="e">
        <f>((H106*(1-'5.Closing Stock &amp; W Capital'!$D$15))+(G106*'5.Closing Stock &amp; W Capital'!$D$15))*$C$152*I$124</f>
        <v>#REF!</v>
      </c>
      <c r="J174" s="80" t="e">
        <f>((I106*(1-'5.Closing Stock &amp; W Capital'!$D$15))+(H106*'5.Closing Stock &amp; W Capital'!$D$15))*$C$152*J$124</f>
        <v>#REF!</v>
      </c>
      <c r="K174" s="78"/>
      <c r="U174" s="78"/>
      <c r="V174" s="78"/>
      <c r="W174" s="78"/>
    </row>
    <row r="175" spans="1:23" x14ac:dyDescent="0.2">
      <c r="A175" s="79" t="e">
        <f t="shared" si="53"/>
        <v>#REF!</v>
      </c>
      <c r="B175" s="79"/>
      <c r="C175" s="215"/>
      <c r="D175" s="80" t="e">
        <f>(C107*(1-'5.Closing Stock &amp; W Capital'!$D$15))*$C175*D$124</f>
        <v>#REF!</v>
      </c>
      <c r="E175" s="80" t="e">
        <f>((D107*(1-'5.Closing Stock &amp; W Capital'!$D$15))+(C107*'5.Closing Stock &amp; W Capital'!$D$15))*$C175*E$124</f>
        <v>#REF!</v>
      </c>
      <c r="F175" s="80" t="e">
        <f>((E107*(1-'5.Closing Stock &amp; W Capital'!$D$15))+(D107*'5.Closing Stock &amp; W Capital'!$D$15))*$C$152*F$124</f>
        <v>#REF!</v>
      </c>
      <c r="G175" s="80" t="e">
        <f>((F107*(1-'5.Closing Stock &amp; W Capital'!$D$15))+(E107*'5.Closing Stock &amp; W Capital'!$D$15))*$C$152*G$124</f>
        <v>#REF!</v>
      </c>
      <c r="H175" s="80" t="e">
        <f>((G107*(1-'5.Closing Stock &amp; W Capital'!$D$15))+(F107*'5.Closing Stock &amp; W Capital'!$D$15))*$C$152*H$124</f>
        <v>#REF!</v>
      </c>
      <c r="I175" s="80" t="e">
        <f>((H107*(1-'5.Closing Stock &amp; W Capital'!$D$15))+(G107*'5.Closing Stock &amp; W Capital'!$D$15))*$C$152*I$124</f>
        <v>#REF!</v>
      </c>
      <c r="J175" s="80" t="e">
        <f>((I107*(1-'5.Closing Stock &amp; W Capital'!$D$15))+(H107*'5.Closing Stock &amp; W Capital'!$D$15))*$C$152*J$124</f>
        <v>#REF!</v>
      </c>
      <c r="K175" s="78"/>
      <c r="U175" s="78"/>
      <c r="V175" s="78"/>
      <c r="W175" s="78"/>
    </row>
    <row r="176" spans="1:23" x14ac:dyDescent="0.2">
      <c r="A176" s="79" t="e">
        <f t="shared" si="53"/>
        <v>#REF!</v>
      </c>
      <c r="B176" s="79"/>
      <c r="C176" s="215"/>
      <c r="D176" s="80" t="e">
        <f>(C108*(1-'5.Closing Stock &amp; W Capital'!$D$15))*$C176*D$124</f>
        <v>#REF!</v>
      </c>
      <c r="E176" s="80" t="e">
        <f>((D108*(1-'5.Closing Stock &amp; W Capital'!$D$15))+(C108*'5.Closing Stock &amp; W Capital'!$D$15))*$C176*E$124</f>
        <v>#REF!</v>
      </c>
      <c r="F176" s="80" t="e">
        <f>((E108*(1-'5.Closing Stock &amp; W Capital'!$D$15))+(D108*'5.Closing Stock &amp; W Capital'!$D$15))*$C$152*F$124</f>
        <v>#REF!</v>
      </c>
      <c r="G176" s="80" t="e">
        <f>((F108*(1-'5.Closing Stock &amp; W Capital'!$D$15))+(E108*'5.Closing Stock &amp; W Capital'!$D$15))*$C$152*G$124</f>
        <v>#REF!</v>
      </c>
      <c r="H176" s="80" t="e">
        <f>((G108*(1-'5.Closing Stock &amp; W Capital'!$D$15))+(F108*'5.Closing Stock &amp; W Capital'!$D$15))*$C$152*H$124</f>
        <v>#REF!</v>
      </c>
      <c r="I176" s="80" t="e">
        <f>((H108*(1-'5.Closing Stock &amp; W Capital'!$D$15))+(G108*'5.Closing Stock &amp; W Capital'!$D$15))*$C$152*I$124</f>
        <v>#REF!</v>
      </c>
      <c r="J176" s="80" t="e">
        <f>((I108*(1-'5.Closing Stock &amp; W Capital'!$D$15))+(H108*'5.Closing Stock &amp; W Capital'!$D$15))*$C$152*J$124</f>
        <v>#REF!</v>
      </c>
      <c r="K176" s="78"/>
      <c r="U176" s="78"/>
      <c r="V176" s="78"/>
      <c r="W176" s="78"/>
    </row>
    <row r="177" spans="1:23" x14ac:dyDescent="0.2">
      <c r="A177" s="79" t="e">
        <f t="shared" si="53"/>
        <v>#REF!</v>
      </c>
      <c r="B177" s="79"/>
      <c r="C177" s="215"/>
      <c r="D177" s="80" t="e">
        <f>(C109*(1-'5.Closing Stock &amp; W Capital'!$D$15))*$C177*D$124</f>
        <v>#REF!</v>
      </c>
      <c r="E177" s="80" t="e">
        <f>((D109*(1-'5.Closing Stock &amp; W Capital'!$D$15))+(C109*'5.Closing Stock &amp; W Capital'!$D$15))*$C177*E$124</f>
        <v>#REF!</v>
      </c>
      <c r="F177" s="80" t="e">
        <f>((E109*(1-'5.Closing Stock &amp; W Capital'!$D$15))+(D109*'5.Closing Stock &amp; W Capital'!$D$15))*$C$152*F$124</f>
        <v>#REF!</v>
      </c>
      <c r="G177" s="80" t="e">
        <f>((F109*(1-'5.Closing Stock &amp; W Capital'!$D$15))+(E109*'5.Closing Stock &amp; W Capital'!$D$15))*$C$152*G$124</f>
        <v>#REF!</v>
      </c>
      <c r="H177" s="80" t="e">
        <f>((G109*(1-'5.Closing Stock &amp; W Capital'!$D$15))+(F109*'5.Closing Stock &amp; W Capital'!$D$15))*$C$152*H$124</f>
        <v>#REF!</v>
      </c>
      <c r="I177" s="80" t="e">
        <f>((H109*(1-'5.Closing Stock &amp; W Capital'!$D$15))+(G109*'5.Closing Stock &amp; W Capital'!$D$15))*$C$152*I$124</f>
        <v>#REF!</v>
      </c>
      <c r="J177" s="80" t="e">
        <f>((I109*(1-'5.Closing Stock &amp; W Capital'!$D$15))+(H109*'5.Closing Stock &amp; W Capital'!$D$15))*$C$152*J$124</f>
        <v>#REF!</v>
      </c>
      <c r="K177" s="78"/>
      <c r="U177" s="78"/>
      <c r="V177" s="78"/>
      <c r="W177" s="78"/>
    </row>
    <row r="178" spans="1:23" x14ac:dyDescent="0.2">
      <c r="A178" s="79" t="e">
        <f t="shared" si="53"/>
        <v>#REF!</v>
      </c>
      <c r="B178" s="79"/>
      <c r="C178" s="215"/>
      <c r="D178" s="80" t="e">
        <f>(C110*(1-'5.Closing Stock &amp; W Capital'!$D$15))*$C178*D$124</f>
        <v>#REF!</v>
      </c>
      <c r="E178" s="80" t="e">
        <f>((D110*(1-'5.Closing Stock &amp; W Capital'!$D$15))+(C110*'5.Closing Stock &amp; W Capital'!$D$15))*$C178*E$124</f>
        <v>#REF!</v>
      </c>
      <c r="F178" s="80" t="e">
        <f>((E110*(1-'5.Closing Stock &amp; W Capital'!$D$15))+(D110*'5.Closing Stock &amp; W Capital'!$D$15))*$C$152*F$124</f>
        <v>#REF!</v>
      </c>
      <c r="G178" s="80" t="e">
        <f>((F110*(1-'5.Closing Stock &amp; W Capital'!$D$15))+(E110*'5.Closing Stock &amp; W Capital'!$D$15))*$C$152*G$124</f>
        <v>#REF!</v>
      </c>
      <c r="H178" s="80" t="e">
        <f>((G110*(1-'5.Closing Stock &amp; W Capital'!$D$15))+(F110*'5.Closing Stock &amp; W Capital'!$D$15))*$C$152*H$124</f>
        <v>#REF!</v>
      </c>
      <c r="I178" s="80" t="e">
        <f>((H110*(1-'5.Closing Stock &amp; W Capital'!$D$15))+(G110*'5.Closing Stock &amp; W Capital'!$D$15))*$C$152*I$124</f>
        <v>#REF!</v>
      </c>
      <c r="J178" s="80" t="e">
        <f>((I110*(1-'5.Closing Stock &amp; W Capital'!$D$15))+(H110*'5.Closing Stock &amp; W Capital'!$D$15))*$C$152*J$124</f>
        <v>#REF!</v>
      </c>
      <c r="K178" s="78"/>
      <c r="U178" s="78"/>
      <c r="V178" s="78"/>
      <c r="W178" s="78"/>
    </row>
    <row r="179" spans="1:23" x14ac:dyDescent="0.2">
      <c r="A179" s="79">
        <f t="shared" si="53"/>
        <v>0</v>
      </c>
      <c r="B179" s="79"/>
      <c r="C179" s="215"/>
      <c r="D179" s="80"/>
      <c r="E179" s="80"/>
      <c r="F179" s="80"/>
      <c r="G179" s="80"/>
      <c r="H179" s="80"/>
      <c r="I179" s="80"/>
      <c r="J179" s="80"/>
      <c r="K179" s="78"/>
      <c r="U179" s="78"/>
      <c r="V179" s="78"/>
      <c r="W179" s="78"/>
    </row>
    <row r="180" spans="1:23" x14ac:dyDescent="0.2">
      <c r="A180" s="79"/>
      <c r="B180" s="79"/>
      <c r="C180" s="80"/>
      <c r="D180" s="80"/>
      <c r="E180" s="80"/>
      <c r="F180" s="80"/>
      <c r="G180" s="80"/>
      <c r="H180" s="80"/>
      <c r="I180" s="80"/>
      <c r="J180" s="80"/>
      <c r="K180" s="78"/>
      <c r="U180" s="78"/>
      <c r="V180" s="78"/>
      <c r="W180" s="78"/>
    </row>
    <row r="181" spans="1:23" x14ac:dyDescent="0.2">
      <c r="A181" s="79" t="s">
        <v>278</v>
      </c>
      <c r="B181" s="79"/>
      <c r="C181" s="80"/>
      <c r="D181" s="80"/>
      <c r="E181" s="80"/>
      <c r="F181" s="80"/>
      <c r="G181" s="80"/>
      <c r="H181" s="80"/>
      <c r="I181" s="80"/>
      <c r="J181" s="80"/>
      <c r="K181" s="78"/>
      <c r="U181" s="78"/>
      <c r="V181" s="78"/>
      <c r="W181" s="78"/>
    </row>
    <row r="182" spans="1:23" x14ac:dyDescent="0.2">
      <c r="A182" s="79" t="s">
        <v>389</v>
      </c>
      <c r="B182" s="79"/>
      <c r="C182" s="215">
        <f>350/50</f>
        <v>7</v>
      </c>
      <c r="D182" s="80" t="e">
        <f>(C114*(1-'5.Closing Stock &amp; W Capital'!$D$15))*$C$182*D124</f>
        <v>#VALUE!</v>
      </c>
      <c r="E182" s="80" t="e">
        <f>((D114*(1-'5.Closing Stock &amp; W Capital'!$D$15))+(C114*'5.Closing Stock &amp; W Capital'!$D$15))*$C$182*E124</f>
        <v>#VALUE!</v>
      </c>
      <c r="F182" s="80" t="e">
        <f>((E114*(1-'5.Closing Stock &amp; W Capital'!$D$15))+(D114*'5.Closing Stock &amp; W Capital'!$D$15))*$C$182*F124</f>
        <v>#VALUE!</v>
      </c>
      <c r="G182" s="80" t="e">
        <f>((F114*(1-'5.Closing Stock &amp; W Capital'!$D$15))+(E114*'5.Closing Stock &amp; W Capital'!$D$15))*$C$182*G124</f>
        <v>#VALUE!</v>
      </c>
      <c r="H182" s="80" t="e">
        <f>((G114*(1-'5.Closing Stock &amp; W Capital'!$D$15))+(F114*'5.Closing Stock &amp; W Capital'!$D$15))*$C$182*H124</f>
        <v>#VALUE!</v>
      </c>
      <c r="I182" s="80" t="e">
        <f>((H114*(1-'5.Closing Stock &amp; W Capital'!$D$15))+(G114*'5.Closing Stock &amp; W Capital'!$D$15))*$C$182*I124</f>
        <v>#VALUE!</v>
      </c>
      <c r="J182" s="80" t="e">
        <f>((I114*(1-'5.Closing Stock &amp; W Capital'!$D$15))+(H114*'5.Closing Stock &amp; W Capital'!$D$15))*$C$182*J124</f>
        <v>#VALUE!</v>
      </c>
      <c r="K182" s="78"/>
      <c r="U182" s="78"/>
      <c r="V182" s="78"/>
      <c r="W182" s="78"/>
    </row>
    <row r="183" spans="1:23" x14ac:dyDescent="0.2">
      <c r="A183" s="79" t="s">
        <v>173</v>
      </c>
      <c r="B183" s="79"/>
      <c r="C183" s="215">
        <v>8</v>
      </c>
      <c r="D183" s="80" t="e">
        <f>(C115*(1-'5.Closing Stock &amp; W Capital'!$D$15))*$C$183*D124</f>
        <v>#VALUE!</v>
      </c>
      <c r="E183" s="80" t="e">
        <f>((D115*(1-'5.Closing Stock &amp; W Capital'!$D$15))+(C115*'5.Closing Stock &amp; W Capital'!$D$15))*$C$183*E124</f>
        <v>#VALUE!</v>
      </c>
      <c r="F183" s="80" t="e">
        <f>((E115*(1-'5.Closing Stock &amp; W Capital'!$D$15))+(D115*'5.Closing Stock &amp; W Capital'!$D$15))*$C$183*F124</f>
        <v>#VALUE!</v>
      </c>
      <c r="G183" s="80" t="e">
        <f>((F115*(1-'5.Closing Stock &amp; W Capital'!$D$15))+(E115*'5.Closing Stock &amp; W Capital'!$D$15))*$C$183*G124</f>
        <v>#VALUE!</v>
      </c>
      <c r="H183" s="80" t="e">
        <f>((G115*(1-'5.Closing Stock &amp; W Capital'!$D$15))+(F115*'5.Closing Stock &amp; W Capital'!$D$15))*$C$183*H124</f>
        <v>#VALUE!</v>
      </c>
      <c r="I183" s="80" t="e">
        <f>((H115*(1-'5.Closing Stock &amp; W Capital'!$D$15))+(G115*'5.Closing Stock &amp; W Capital'!$D$15))*$C$183*I124</f>
        <v>#VALUE!</v>
      </c>
      <c r="J183" s="80" t="e">
        <f>((I115*(1-'5.Closing Stock &amp; W Capital'!$D$15))+(H115*'5.Closing Stock &amp; W Capital'!$D$15))*$C$183*J124</f>
        <v>#VALUE!</v>
      </c>
      <c r="K183" s="78"/>
      <c r="U183" s="78"/>
      <c r="V183" s="78"/>
      <c r="W183" s="78"/>
    </row>
    <row r="184" spans="1:23" x14ac:dyDescent="0.2">
      <c r="A184" s="79" t="s">
        <v>175</v>
      </c>
      <c r="B184" s="79"/>
      <c r="C184" s="215">
        <v>30</v>
      </c>
      <c r="D184" s="80" t="e">
        <f>(C116*(1-'5.Closing Stock &amp; W Capital'!$D$15))*$C$184*D124</f>
        <v>#VALUE!</v>
      </c>
      <c r="E184" s="80" t="e">
        <f>((D116*(1-'5.Closing Stock &amp; W Capital'!$D$15))+(C116*'5.Closing Stock &amp; W Capital'!$D$15))*$C$184*E124</f>
        <v>#VALUE!</v>
      </c>
      <c r="F184" s="80" t="e">
        <f>((E116*(1-'5.Closing Stock &amp; W Capital'!$D$15))+(D116*'5.Closing Stock &amp; W Capital'!$D$15))*$C$184*F124</f>
        <v>#VALUE!</v>
      </c>
      <c r="G184" s="80" t="e">
        <f>((F116*(1-'5.Closing Stock &amp; W Capital'!$D$15))+(E116*'5.Closing Stock &amp; W Capital'!$D$15))*$C$184*G124</f>
        <v>#VALUE!</v>
      </c>
      <c r="H184" s="80" t="e">
        <f>((G116*(1-'5.Closing Stock &amp; W Capital'!$D$15))+(F116*'5.Closing Stock &amp; W Capital'!$D$15))*$C$184*H124</f>
        <v>#VALUE!</v>
      </c>
      <c r="I184" s="80" t="e">
        <f>((H116*(1-'5.Closing Stock &amp; W Capital'!$D$15))+(G116*'5.Closing Stock &amp; W Capital'!$D$15))*$C$184*I124</f>
        <v>#VALUE!</v>
      </c>
      <c r="J184" s="80" t="e">
        <f>((I116*(1-'5.Closing Stock &amp; W Capital'!$D$15))+(H116*'5.Closing Stock &amp; W Capital'!$D$15))*$C$184*J124</f>
        <v>#VALUE!</v>
      </c>
      <c r="K184" s="78"/>
      <c r="U184" s="78"/>
      <c r="V184" s="78"/>
      <c r="W184" s="78"/>
    </row>
    <row r="185" spans="1:23" x14ac:dyDescent="0.2">
      <c r="A185" s="79"/>
      <c r="B185" s="79"/>
      <c r="C185" s="80"/>
      <c r="D185" s="80"/>
      <c r="E185" s="80"/>
      <c r="F185" s="80"/>
      <c r="G185" s="80"/>
      <c r="H185" s="80"/>
      <c r="I185" s="80"/>
      <c r="J185" s="80"/>
      <c r="K185" s="78"/>
      <c r="U185" s="78"/>
      <c r="V185" s="78"/>
      <c r="W185" s="78"/>
    </row>
    <row r="186" spans="1:23" x14ac:dyDescent="0.2">
      <c r="A186" s="79" t="s">
        <v>174</v>
      </c>
      <c r="B186" s="79"/>
      <c r="C186" s="80"/>
      <c r="D186" s="80"/>
      <c r="E186" s="80"/>
      <c r="F186" s="80"/>
      <c r="G186" s="80"/>
      <c r="H186" s="80"/>
      <c r="I186" s="80"/>
      <c r="J186" s="80"/>
      <c r="K186" s="78"/>
      <c r="U186" s="78"/>
      <c r="V186" s="78"/>
      <c r="W186" s="78"/>
    </row>
    <row r="187" spans="1:23" x14ac:dyDescent="0.2">
      <c r="A187" s="79" t="s">
        <v>180</v>
      </c>
      <c r="B187" s="79"/>
      <c r="C187" s="215">
        <v>3000</v>
      </c>
      <c r="D187" s="80" t="e">
        <f>(C118*(1-'5.Closing Stock &amp; W Capital'!$D$15))*$C$187*D124</f>
        <v>#VALUE!</v>
      </c>
      <c r="E187" s="80" t="e">
        <f>((D118*(1-'5.Closing Stock &amp; W Capital'!$D$15))+(C118*'5.Closing Stock &amp; W Capital'!$D$15))*$C$187*E124</f>
        <v>#VALUE!</v>
      </c>
      <c r="F187" s="80" t="e">
        <f>((E118*(1-'5.Closing Stock &amp; W Capital'!$D$15))+(D118*'5.Closing Stock &amp; W Capital'!$D$15))*$C$187*F124</f>
        <v>#VALUE!</v>
      </c>
      <c r="G187" s="80" t="e">
        <f>((F118*(1-'5.Closing Stock &amp; W Capital'!$D$15))+(E118*'5.Closing Stock &amp; W Capital'!$D$15))*$C$187*G124</f>
        <v>#VALUE!</v>
      </c>
      <c r="H187" s="80" t="e">
        <f>((G118*(1-'5.Closing Stock &amp; W Capital'!$D$15))+(F118*'5.Closing Stock &amp; W Capital'!$D$15))*$C$187*H124</f>
        <v>#VALUE!</v>
      </c>
      <c r="I187" s="80" t="e">
        <f>((H118*(1-'5.Closing Stock &amp; W Capital'!$D$15))+(G118*'5.Closing Stock &amp; W Capital'!$D$15))*$C$187*I124</f>
        <v>#VALUE!</v>
      </c>
      <c r="J187" s="80" t="e">
        <f>((I118*(1-'5.Closing Stock &amp; W Capital'!$D$15))+(H118*'5.Closing Stock &amp; W Capital'!$D$15))*$C$187*J124</f>
        <v>#VALUE!</v>
      </c>
      <c r="K187" s="78"/>
      <c r="U187" s="169"/>
      <c r="V187" s="169"/>
      <c r="W187" s="169"/>
    </row>
    <row r="188" spans="1:23" x14ac:dyDescent="0.2">
      <c r="A188" s="79" t="s">
        <v>181</v>
      </c>
      <c r="B188" s="79"/>
      <c r="C188" s="215">
        <v>2200</v>
      </c>
      <c r="D188" s="80" t="e">
        <f>(C119*(1-'5.Closing Stock &amp; W Capital'!$D$15))*$C$188*D124</f>
        <v>#VALUE!</v>
      </c>
      <c r="E188" s="80" t="e">
        <f>((D119*(1-'5.Closing Stock &amp; W Capital'!$D$15))+(C119*'5.Closing Stock &amp; W Capital'!$D$15))*$C$188*E124</f>
        <v>#VALUE!</v>
      </c>
      <c r="F188" s="80" t="e">
        <f>((E119*(1-'5.Closing Stock &amp; W Capital'!$D$15))+(D119*'5.Closing Stock &amp; W Capital'!$D$15))*$C$188*F124</f>
        <v>#VALUE!</v>
      </c>
      <c r="G188" s="80" t="e">
        <f>((F119*(1-'5.Closing Stock &amp; W Capital'!$D$15))+(E119*'5.Closing Stock &amp; W Capital'!$D$15))*$C$188*G124</f>
        <v>#VALUE!</v>
      </c>
      <c r="H188" s="80" t="e">
        <f>((G119*(1-'5.Closing Stock &amp; W Capital'!$D$15))+(F119*'5.Closing Stock &amp; W Capital'!$D$15))*$C$188*H124</f>
        <v>#VALUE!</v>
      </c>
      <c r="I188" s="80" t="e">
        <f>((H119*(1-'5.Closing Stock &amp; W Capital'!$D$15))+(G119*'5.Closing Stock &amp; W Capital'!$D$15))*$C$188*I124</f>
        <v>#VALUE!</v>
      </c>
      <c r="J188" s="80" t="e">
        <f>((I119*(1-'5.Closing Stock &amp; W Capital'!$D$15))+(H119*'5.Closing Stock &amp; W Capital'!$D$15))*$C$188*J124</f>
        <v>#VALUE!</v>
      </c>
      <c r="K188" s="78"/>
      <c r="U188" s="78"/>
      <c r="V188" s="78"/>
      <c r="W188" s="78"/>
    </row>
    <row r="189" spans="1:23" x14ac:dyDescent="0.2">
      <c r="A189" s="79"/>
      <c r="B189" s="79"/>
      <c r="C189" s="80"/>
      <c r="D189" s="80"/>
      <c r="E189" s="80"/>
      <c r="F189" s="80"/>
      <c r="G189" s="80"/>
      <c r="H189" s="80"/>
      <c r="I189" s="80"/>
      <c r="J189" s="80"/>
      <c r="K189" s="78"/>
      <c r="U189" s="78"/>
      <c r="V189" s="78"/>
      <c r="W189" s="78"/>
    </row>
    <row r="190" spans="1:23" x14ac:dyDescent="0.2">
      <c r="A190" s="79"/>
      <c r="B190" s="79"/>
      <c r="C190" s="80"/>
      <c r="D190" s="80"/>
      <c r="E190" s="80"/>
      <c r="F190" s="80"/>
      <c r="G190" s="80"/>
      <c r="H190" s="80"/>
      <c r="I190" s="80"/>
      <c r="J190" s="80"/>
      <c r="K190" s="78"/>
      <c r="U190" s="78"/>
      <c r="V190" s="78"/>
      <c r="W190" s="78"/>
    </row>
    <row r="191" spans="1:23" x14ac:dyDescent="0.2">
      <c r="A191" s="81" t="s">
        <v>138</v>
      </c>
      <c r="B191" s="81"/>
      <c r="C191" s="97"/>
      <c r="D191" s="97" t="e">
        <f t="shared" ref="D191:J191" si="54">SUM(D130:D188)</f>
        <v>#VALUE!</v>
      </c>
      <c r="E191" s="97" t="e">
        <f t="shared" si="54"/>
        <v>#VALUE!</v>
      </c>
      <c r="F191" s="97" t="e">
        <f t="shared" si="54"/>
        <v>#VALUE!</v>
      </c>
      <c r="G191" s="97" t="e">
        <f t="shared" si="54"/>
        <v>#VALUE!</v>
      </c>
      <c r="H191" s="97" t="e">
        <f t="shared" si="54"/>
        <v>#VALUE!</v>
      </c>
      <c r="I191" s="97" t="e">
        <f t="shared" si="54"/>
        <v>#VALUE!</v>
      </c>
      <c r="J191" s="97" t="e">
        <f t="shared" si="54"/>
        <v>#VALUE!</v>
      </c>
      <c r="K191" s="78"/>
      <c r="U191" s="78"/>
      <c r="V191" s="78"/>
      <c r="W191" s="78"/>
    </row>
    <row r="192" spans="1:23" x14ac:dyDescent="0.2">
      <c r="A192" s="79"/>
      <c r="B192" s="79"/>
      <c r="C192" s="80"/>
      <c r="D192" s="80"/>
      <c r="E192" s="80"/>
      <c r="F192" s="80"/>
      <c r="G192" s="80"/>
      <c r="H192" s="80"/>
      <c r="I192" s="80"/>
      <c r="J192" s="80"/>
      <c r="K192" s="78"/>
      <c r="U192" s="78"/>
      <c r="V192" s="78"/>
      <c r="W192" s="78"/>
    </row>
    <row r="193" spans="1:23" x14ac:dyDescent="0.2">
      <c r="A193" s="79"/>
      <c r="B193" s="79"/>
      <c r="C193" s="80"/>
      <c r="D193" s="80"/>
      <c r="E193" s="80"/>
      <c r="F193" s="80"/>
      <c r="G193" s="80"/>
      <c r="H193" s="80"/>
      <c r="I193" s="80"/>
      <c r="J193" s="80"/>
      <c r="K193" s="78"/>
      <c r="U193" s="78"/>
      <c r="V193" s="78"/>
      <c r="W193" s="78"/>
    </row>
    <row r="194" spans="1:23" x14ac:dyDescent="0.2">
      <c r="A194" s="81" t="s">
        <v>137</v>
      </c>
      <c r="B194" s="81"/>
      <c r="C194" s="80"/>
      <c r="D194" s="80"/>
      <c r="E194" s="80"/>
      <c r="F194" s="80"/>
      <c r="G194" s="80"/>
      <c r="H194" s="80"/>
      <c r="I194" s="80"/>
      <c r="J194" s="80"/>
      <c r="K194" s="78"/>
      <c r="U194" s="78"/>
      <c r="V194" s="78"/>
      <c r="W194" s="78"/>
    </row>
    <row r="195" spans="1:23" x14ac:dyDescent="0.2">
      <c r="A195" s="81" t="str">
        <f>A128</f>
        <v>Seeds (Rate/KG)</v>
      </c>
      <c r="B195" s="81"/>
      <c r="C195" s="80"/>
      <c r="D195" s="80"/>
      <c r="E195" s="80"/>
      <c r="F195" s="80"/>
      <c r="G195" s="80"/>
      <c r="H195" s="80"/>
      <c r="I195" s="80"/>
      <c r="J195" s="80"/>
      <c r="K195" s="78"/>
      <c r="U195" s="78"/>
      <c r="V195" s="78"/>
      <c r="W195" s="78"/>
    </row>
    <row r="196" spans="1:23" x14ac:dyDescent="0.2">
      <c r="A196" s="78" t="s">
        <v>301</v>
      </c>
      <c r="B196" s="78"/>
      <c r="C196" s="78"/>
      <c r="D196" s="78"/>
      <c r="E196" s="78"/>
      <c r="F196" s="78"/>
      <c r="G196" s="78"/>
      <c r="H196" s="78"/>
      <c r="I196" s="78"/>
      <c r="J196" s="78"/>
      <c r="K196" s="78"/>
      <c r="U196" s="78"/>
      <c r="V196" s="78"/>
      <c r="W196" s="78"/>
    </row>
    <row r="197" spans="1:23" x14ac:dyDescent="0.2">
      <c r="A197" s="79">
        <f t="shared" ref="A197:A238" si="55">A130</f>
        <v>0</v>
      </c>
      <c r="B197" s="78"/>
      <c r="C197" s="215">
        <v>85</v>
      </c>
      <c r="D197" s="80">
        <f t="shared" ref="D197:J206" si="56">C62*$C197*D$124</f>
        <v>0</v>
      </c>
      <c r="E197" s="80">
        <f t="shared" si="56"/>
        <v>0</v>
      </c>
      <c r="F197" s="80">
        <f t="shared" si="56"/>
        <v>0</v>
      </c>
      <c r="G197" s="80">
        <f t="shared" si="56"/>
        <v>0</v>
      </c>
      <c r="H197" s="80">
        <f t="shared" si="56"/>
        <v>0</v>
      </c>
      <c r="I197" s="80">
        <f t="shared" si="56"/>
        <v>0</v>
      </c>
      <c r="J197" s="80">
        <f t="shared" si="56"/>
        <v>0</v>
      </c>
      <c r="K197" s="78"/>
      <c r="U197" s="78"/>
      <c r="V197" s="78"/>
      <c r="W197" s="78"/>
    </row>
    <row r="198" spans="1:23" x14ac:dyDescent="0.2">
      <c r="A198" s="79">
        <f t="shared" si="55"/>
        <v>0</v>
      </c>
      <c r="B198" s="79"/>
      <c r="C198" s="215">
        <v>75</v>
      </c>
      <c r="D198" s="80">
        <f t="shared" si="56"/>
        <v>0</v>
      </c>
      <c r="E198" s="80">
        <f t="shared" si="56"/>
        <v>0</v>
      </c>
      <c r="F198" s="80">
        <f t="shared" si="56"/>
        <v>0</v>
      </c>
      <c r="G198" s="80">
        <f t="shared" si="56"/>
        <v>0</v>
      </c>
      <c r="H198" s="80">
        <f t="shared" si="56"/>
        <v>0</v>
      </c>
      <c r="I198" s="80">
        <f t="shared" si="56"/>
        <v>0</v>
      </c>
      <c r="J198" s="80">
        <f t="shared" si="56"/>
        <v>0</v>
      </c>
      <c r="K198" s="78"/>
      <c r="U198" s="78"/>
      <c r="V198" s="78"/>
      <c r="W198" s="78"/>
    </row>
    <row r="199" spans="1:23" x14ac:dyDescent="0.2">
      <c r="A199" s="79">
        <f t="shared" si="55"/>
        <v>0</v>
      </c>
      <c r="B199" s="79"/>
      <c r="C199" s="215">
        <v>57</v>
      </c>
      <c r="D199" s="80">
        <f t="shared" si="56"/>
        <v>0</v>
      </c>
      <c r="E199" s="80">
        <f t="shared" si="56"/>
        <v>0</v>
      </c>
      <c r="F199" s="80">
        <f t="shared" si="56"/>
        <v>0</v>
      </c>
      <c r="G199" s="80">
        <f t="shared" si="56"/>
        <v>0</v>
      </c>
      <c r="H199" s="80">
        <f t="shared" si="56"/>
        <v>0</v>
      </c>
      <c r="I199" s="80">
        <f t="shared" si="56"/>
        <v>0</v>
      </c>
      <c r="J199" s="80">
        <f t="shared" si="56"/>
        <v>0</v>
      </c>
      <c r="K199" s="78"/>
      <c r="U199" s="78"/>
      <c r="V199" s="78"/>
      <c r="W199" s="78"/>
    </row>
    <row r="200" spans="1:23" x14ac:dyDescent="0.2">
      <c r="A200" s="79" t="str">
        <f t="shared" si="55"/>
        <v>Pomegranate</v>
      </c>
      <c r="B200" s="79"/>
      <c r="C200" s="215">
        <v>80</v>
      </c>
      <c r="D200" s="80">
        <f t="shared" si="56"/>
        <v>0</v>
      </c>
      <c r="E200" s="80">
        <f t="shared" si="56"/>
        <v>0</v>
      </c>
      <c r="F200" s="80">
        <f t="shared" si="56"/>
        <v>0</v>
      </c>
      <c r="G200" s="80">
        <f t="shared" si="56"/>
        <v>0</v>
      </c>
      <c r="H200" s="80">
        <f t="shared" si="56"/>
        <v>0</v>
      </c>
      <c r="I200" s="80">
        <f t="shared" si="56"/>
        <v>0</v>
      </c>
      <c r="J200" s="80">
        <f t="shared" si="56"/>
        <v>0</v>
      </c>
      <c r="K200" s="78"/>
      <c r="L200" s="78"/>
      <c r="M200" s="78"/>
      <c r="N200" s="78"/>
      <c r="O200" s="78"/>
      <c r="P200" s="78"/>
      <c r="Q200" s="78"/>
      <c r="R200" s="78"/>
      <c r="S200" s="78"/>
      <c r="T200" s="78"/>
      <c r="U200" s="78"/>
      <c r="V200" s="78"/>
      <c r="W200" s="78"/>
    </row>
    <row r="201" spans="1:23" x14ac:dyDescent="0.2">
      <c r="A201" s="79" t="str">
        <f t="shared" si="55"/>
        <v>Custard Apple</v>
      </c>
      <c r="B201" s="79"/>
      <c r="C201" s="215">
        <v>25</v>
      </c>
      <c r="D201" s="80">
        <f t="shared" si="56"/>
        <v>0</v>
      </c>
      <c r="E201" s="80">
        <f t="shared" si="56"/>
        <v>0</v>
      </c>
      <c r="F201" s="80">
        <f t="shared" si="56"/>
        <v>0</v>
      </c>
      <c r="G201" s="80">
        <f t="shared" si="56"/>
        <v>0</v>
      </c>
      <c r="H201" s="80">
        <f t="shared" si="56"/>
        <v>0</v>
      </c>
      <c r="I201" s="80">
        <f t="shared" si="56"/>
        <v>0</v>
      </c>
      <c r="J201" s="80">
        <f t="shared" si="56"/>
        <v>0</v>
      </c>
      <c r="K201" s="78"/>
      <c r="L201" s="78"/>
      <c r="M201" s="78"/>
      <c r="N201" s="78"/>
      <c r="O201" s="78"/>
      <c r="P201" s="78"/>
      <c r="Q201" s="78"/>
      <c r="R201" s="78"/>
      <c r="S201" s="78"/>
      <c r="T201" s="78"/>
      <c r="U201" s="78"/>
      <c r="V201" s="78"/>
      <c r="W201" s="78"/>
    </row>
    <row r="202" spans="1:23" x14ac:dyDescent="0.2">
      <c r="A202" s="79" t="str">
        <f t="shared" si="55"/>
        <v>Guava</v>
      </c>
      <c r="B202" s="79"/>
      <c r="C202" s="215">
        <v>70</v>
      </c>
      <c r="D202" s="80">
        <f t="shared" si="56"/>
        <v>0</v>
      </c>
      <c r="E202" s="80">
        <f t="shared" si="56"/>
        <v>0</v>
      </c>
      <c r="F202" s="80">
        <f t="shared" si="56"/>
        <v>0</v>
      </c>
      <c r="G202" s="80">
        <f t="shared" si="56"/>
        <v>0</v>
      </c>
      <c r="H202" s="80">
        <f t="shared" si="56"/>
        <v>0</v>
      </c>
      <c r="I202" s="80">
        <f t="shared" si="56"/>
        <v>0</v>
      </c>
      <c r="J202" s="80">
        <f t="shared" si="56"/>
        <v>0</v>
      </c>
      <c r="K202" s="78"/>
      <c r="L202" s="78"/>
      <c r="M202" s="78"/>
      <c r="N202" s="78"/>
      <c r="O202" s="78"/>
      <c r="P202" s="78"/>
      <c r="Q202" s="78"/>
      <c r="R202" s="78"/>
      <c r="S202" s="78"/>
      <c r="T202" s="78"/>
      <c r="U202" s="78"/>
      <c r="V202" s="78"/>
      <c r="W202" s="78"/>
    </row>
    <row r="203" spans="1:23" x14ac:dyDescent="0.2">
      <c r="A203" s="79" t="str">
        <f t="shared" si="55"/>
        <v>Citrus</v>
      </c>
      <c r="B203" s="79"/>
      <c r="C203" s="215">
        <v>25</v>
      </c>
      <c r="D203" s="80">
        <f t="shared" si="56"/>
        <v>0</v>
      </c>
      <c r="E203" s="80">
        <f t="shared" si="56"/>
        <v>0</v>
      </c>
      <c r="F203" s="80">
        <f t="shared" si="56"/>
        <v>0</v>
      </c>
      <c r="G203" s="80">
        <f t="shared" si="56"/>
        <v>0</v>
      </c>
      <c r="H203" s="80">
        <f t="shared" si="56"/>
        <v>0</v>
      </c>
      <c r="I203" s="80">
        <f t="shared" si="56"/>
        <v>0</v>
      </c>
      <c r="J203" s="80">
        <f t="shared" si="56"/>
        <v>0</v>
      </c>
      <c r="K203" s="78"/>
      <c r="L203" s="78"/>
      <c r="M203" s="78"/>
      <c r="N203" s="78"/>
      <c r="O203" s="78"/>
      <c r="P203" s="78"/>
      <c r="Q203" s="78"/>
      <c r="R203" s="78"/>
      <c r="S203" s="78"/>
      <c r="T203" s="78"/>
      <c r="U203" s="78"/>
      <c r="V203" s="78"/>
      <c r="W203" s="78"/>
    </row>
    <row r="204" spans="1:23" x14ac:dyDescent="0.2">
      <c r="A204" s="79" t="str">
        <f t="shared" si="55"/>
        <v>11.5 Crop-wise Area Considered for Agri Input Service Centre</v>
      </c>
      <c r="B204" s="79"/>
      <c r="C204" s="215">
        <v>25</v>
      </c>
      <c r="D204" s="80">
        <f t="shared" si="56"/>
        <v>0</v>
      </c>
      <c r="E204" s="80">
        <f t="shared" si="56"/>
        <v>0</v>
      </c>
      <c r="F204" s="80">
        <f t="shared" si="56"/>
        <v>0</v>
      </c>
      <c r="G204" s="80">
        <f t="shared" si="56"/>
        <v>0</v>
      </c>
      <c r="H204" s="80">
        <f t="shared" si="56"/>
        <v>0</v>
      </c>
      <c r="I204" s="80">
        <f t="shared" si="56"/>
        <v>0</v>
      </c>
      <c r="J204" s="80">
        <f t="shared" si="56"/>
        <v>0</v>
      </c>
      <c r="K204" s="78"/>
      <c r="L204" s="78"/>
      <c r="M204" s="78"/>
      <c r="N204" s="78"/>
      <c r="O204" s="78"/>
      <c r="P204" s="78"/>
      <c r="Q204" s="78"/>
      <c r="R204" s="78"/>
      <c r="S204" s="78"/>
      <c r="T204" s="78"/>
      <c r="U204" s="78"/>
      <c r="V204" s="78"/>
      <c r="W204" s="78"/>
    </row>
    <row r="205" spans="1:23" x14ac:dyDescent="0.2">
      <c r="A205" s="81" t="str">
        <f t="shared" si="55"/>
        <v>Rabi Crop</v>
      </c>
      <c r="B205" s="79"/>
      <c r="C205" s="215"/>
      <c r="D205" s="80">
        <f t="shared" si="56"/>
        <v>0</v>
      </c>
      <c r="E205" s="80">
        <f t="shared" si="56"/>
        <v>0</v>
      </c>
      <c r="F205" s="80">
        <f t="shared" si="56"/>
        <v>0</v>
      </c>
      <c r="G205" s="80">
        <f t="shared" si="56"/>
        <v>0</v>
      </c>
      <c r="H205" s="80">
        <f t="shared" si="56"/>
        <v>0</v>
      </c>
      <c r="I205" s="80">
        <f t="shared" si="56"/>
        <v>0</v>
      </c>
      <c r="J205" s="80">
        <f t="shared" si="56"/>
        <v>0</v>
      </c>
      <c r="K205" s="78"/>
      <c r="L205" s="78"/>
      <c r="M205" s="78"/>
      <c r="N205" s="78"/>
      <c r="O205" s="78"/>
      <c r="P205" s="78"/>
      <c r="Q205" s="78"/>
      <c r="R205" s="78"/>
      <c r="S205" s="78"/>
      <c r="T205" s="78"/>
      <c r="U205" s="78"/>
      <c r="V205" s="78"/>
      <c r="W205" s="78"/>
    </row>
    <row r="206" spans="1:23" x14ac:dyDescent="0.2">
      <c r="A206" s="79">
        <f t="shared" si="55"/>
        <v>0</v>
      </c>
      <c r="B206" s="79"/>
      <c r="C206" s="215">
        <v>35</v>
      </c>
      <c r="D206" s="80" t="e">
        <f t="shared" si="56"/>
        <v>#VALUE!</v>
      </c>
      <c r="E206" s="80" t="e">
        <f t="shared" si="56"/>
        <v>#VALUE!</v>
      </c>
      <c r="F206" s="80" t="e">
        <f t="shared" si="56"/>
        <v>#VALUE!</v>
      </c>
      <c r="G206" s="80" t="e">
        <f t="shared" si="56"/>
        <v>#VALUE!</v>
      </c>
      <c r="H206" s="80" t="e">
        <f t="shared" si="56"/>
        <v>#VALUE!</v>
      </c>
      <c r="I206" s="80" t="e">
        <f t="shared" si="56"/>
        <v>#VALUE!</v>
      </c>
      <c r="J206" s="80" t="e">
        <f t="shared" si="56"/>
        <v>#VALUE!</v>
      </c>
      <c r="K206" s="78"/>
      <c r="L206" s="78"/>
      <c r="M206" s="78"/>
      <c r="N206" s="78"/>
      <c r="O206" s="78"/>
      <c r="P206" s="78"/>
      <c r="Q206" s="78"/>
      <c r="R206" s="78"/>
      <c r="S206" s="78"/>
      <c r="T206" s="78"/>
      <c r="U206" s="78"/>
      <c r="V206" s="78"/>
      <c r="W206" s="78"/>
    </row>
    <row r="207" spans="1:23" x14ac:dyDescent="0.2">
      <c r="A207" s="79" t="str">
        <f t="shared" si="55"/>
        <v>Onion</v>
      </c>
      <c r="B207" s="79"/>
      <c r="C207" s="215">
        <v>70</v>
      </c>
      <c r="D207" s="80">
        <f t="shared" ref="D207:J216" si="57">C72*$C207*D$124</f>
        <v>0</v>
      </c>
      <c r="E207" s="80">
        <f t="shared" si="57"/>
        <v>0</v>
      </c>
      <c r="F207" s="80">
        <f t="shared" si="57"/>
        <v>0</v>
      </c>
      <c r="G207" s="80">
        <f t="shared" si="57"/>
        <v>0</v>
      </c>
      <c r="H207" s="80">
        <f t="shared" si="57"/>
        <v>0</v>
      </c>
      <c r="I207" s="80">
        <f t="shared" si="57"/>
        <v>0</v>
      </c>
      <c r="J207" s="80">
        <f t="shared" si="57"/>
        <v>0</v>
      </c>
      <c r="K207" s="78"/>
      <c r="L207" s="78"/>
      <c r="M207" s="78"/>
      <c r="N207" s="78"/>
      <c r="O207" s="78"/>
      <c r="P207" s="78"/>
      <c r="Q207" s="78"/>
      <c r="R207" s="78"/>
      <c r="S207" s="78"/>
      <c r="T207" s="78"/>
      <c r="U207" s="78"/>
      <c r="V207" s="78"/>
      <c r="W207" s="78"/>
    </row>
    <row r="208" spans="1:23" x14ac:dyDescent="0.2">
      <c r="A208" s="79" t="str">
        <f t="shared" si="55"/>
        <v>Tomato</v>
      </c>
      <c r="B208" s="79"/>
      <c r="C208" s="215">
        <v>25</v>
      </c>
      <c r="D208" s="80">
        <f t="shared" si="57"/>
        <v>0</v>
      </c>
      <c r="E208" s="80">
        <f t="shared" si="57"/>
        <v>0</v>
      </c>
      <c r="F208" s="80">
        <f t="shared" si="57"/>
        <v>0</v>
      </c>
      <c r="G208" s="80">
        <f t="shared" si="57"/>
        <v>0</v>
      </c>
      <c r="H208" s="80">
        <f t="shared" si="57"/>
        <v>0</v>
      </c>
      <c r="I208" s="80">
        <f t="shared" si="57"/>
        <v>0</v>
      </c>
      <c r="J208" s="80">
        <f t="shared" si="57"/>
        <v>0</v>
      </c>
      <c r="K208" s="78"/>
      <c r="L208" s="78"/>
      <c r="M208" s="78"/>
      <c r="N208" s="78"/>
      <c r="O208" s="78"/>
      <c r="P208" s="78"/>
      <c r="Q208" s="78"/>
      <c r="R208" s="78"/>
      <c r="S208" s="78"/>
      <c r="T208" s="78"/>
      <c r="U208" s="78"/>
      <c r="V208" s="78"/>
      <c r="W208" s="78"/>
    </row>
    <row r="209" spans="1:23" x14ac:dyDescent="0.2">
      <c r="A209" s="79" t="str">
        <f t="shared" si="55"/>
        <v>Okra</v>
      </c>
      <c r="B209" s="79"/>
      <c r="C209" s="215">
        <v>25</v>
      </c>
      <c r="D209" s="80">
        <f t="shared" si="57"/>
        <v>0</v>
      </c>
      <c r="E209" s="80">
        <f t="shared" si="57"/>
        <v>0</v>
      </c>
      <c r="F209" s="80">
        <f t="shared" si="57"/>
        <v>0</v>
      </c>
      <c r="G209" s="80">
        <f t="shared" si="57"/>
        <v>0</v>
      </c>
      <c r="H209" s="80">
        <f t="shared" si="57"/>
        <v>0</v>
      </c>
      <c r="I209" s="80">
        <f t="shared" si="57"/>
        <v>0</v>
      </c>
      <c r="J209" s="80">
        <f t="shared" si="57"/>
        <v>0</v>
      </c>
      <c r="K209" s="78"/>
      <c r="L209" s="78"/>
      <c r="M209" s="78"/>
      <c r="N209" s="78"/>
      <c r="O209" s="78"/>
      <c r="P209" s="78"/>
      <c r="Q209" s="78"/>
      <c r="R209" s="78"/>
      <c r="S209" s="78"/>
      <c r="T209" s="78"/>
      <c r="U209" s="78"/>
      <c r="V209" s="78"/>
      <c r="W209" s="78"/>
    </row>
    <row r="210" spans="1:23" x14ac:dyDescent="0.2">
      <c r="A210" s="79" t="str">
        <f t="shared" si="55"/>
        <v>Chilli</v>
      </c>
      <c r="B210" s="79"/>
      <c r="C210" s="215">
        <v>25</v>
      </c>
      <c r="D210" s="80">
        <f t="shared" si="57"/>
        <v>0</v>
      </c>
      <c r="E210" s="80">
        <f t="shared" si="57"/>
        <v>0</v>
      </c>
      <c r="F210" s="80">
        <f t="shared" si="57"/>
        <v>0</v>
      </c>
      <c r="G210" s="80">
        <f t="shared" si="57"/>
        <v>0</v>
      </c>
      <c r="H210" s="80">
        <f t="shared" si="57"/>
        <v>0</v>
      </c>
      <c r="I210" s="80">
        <f t="shared" si="57"/>
        <v>0</v>
      </c>
      <c r="J210" s="80">
        <f t="shared" si="57"/>
        <v>0</v>
      </c>
      <c r="K210" s="78"/>
      <c r="L210" s="78"/>
      <c r="M210" s="78"/>
      <c r="N210" s="78"/>
      <c r="O210" s="78"/>
      <c r="P210" s="78"/>
      <c r="Q210" s="78"/>
      <c r="R210" s="78"/>
      <c r="S210" s="78"/>
      <c r="T210" s="78"/>
      <c r="U210" s="78"/>
      <c r="V210" s="78"/>
      <c r="W210" s="78"/>
    </row>
    <row r="211" spans="1:23" x14ac:dyDescent="0.2">
      <c r="A211" s="79" t="str">
        <f t="shared" si="55"/>
        <v>Potato</v>
      </c>
      <c r="B211" s="79"/>
      <c r="C211" s="215"/>
      <c r="D211" s="80">
        <f t="shared" si="57"/>
        <v>0</v>
      </c>
      <c r="E211" s="80">
        <f t="shared" si="57"/>
        <v>0</v>
      </c>
      <c r="F211" s="80">
        <f t="shared" si="57"/>
        <v>0</v>
      </c>
      <c r="G211" s="80">
        <f t="shared" si="57"/>
        <v>0</v>
      </c>
      <c r="H211" s="80">
        <f t="shared" si="57"/>
        <v>0</v>
      </c>
      <c r="I211" s="80">
        <f t="shared" si="57"/>
        <v>0</v>
      </c>
      <c r="J211" s="80">
        <f t="shared" si="57"/>
        <v>0</v>
      </c>
      <c r="K211" s="78"/>
      <c r="L211" s="78"/>
      <c r="M211" s="78"/>
      <c r="N211" s="78"/>
      <c r="O211" s="78"/>
      <c r="P211" s="78"/>
      <c r="Q211" s="78"/>
      <c r="R211" s="78"/>
      <c r="S211" s="78"/>
      <c r="T211" s="78"/>
      <c r="U211" s="78"/>
      <c r="V211" s="78"/>
      <c r="W211" s="78"/>
    </row>
    <row r="212" spans="1:23" x14ac:dyDescent="0.2">
      <c r="A212" s="79">
        <f t="shared" si="55"/>
        <v>0</v>
      </c>
      <c r="B212" s="79"/>
      <c r="C212" s="215"/>
      <c r="D212" s="80">
        <f t="shared" si="57"/>
        <v>0</v>
      </c>
      <c r="E212" s="80">
        <f t="shared" si="57"/>
        <v>0</v>
      </c>
      <c r="F212" s="80">
        <f t="shared" si="57"/>
        <v>0</v>
      </c>
      <c r="G212" s="80">
        <f t="shared" si="57"/>
        <v>0</v>
      </c>
      <c r="H212" s="80">
        <f t="shared" si="57"/>
        <v>0</v>
      </c>
      <c r="I212" s="80">
        <f t="shared" si="57"/>
        <v>0</v>
      </c>
      <c r="J212" s="80">
        <f t="shared" si="57"/>
        <v>0</v>
      </c>
      <c r="K212" s="78"/>
      <c r="L212" s="78"/>
      <c r="M212" s="78"/>
      <c r="N212" s="78"/>
      <c r="O212" s="78"/>
      <c r="P212" s="78"/>
      <c r="Q212" s="78"/>
      <c r="R212" s="78"/>
      <c r="S212" s="78"/>
      <c r="T212" s="78"/>
      <c r="U212" s="78"/>
      <c r="V212" s="78"/>
      <c r="W212" s="78"/>
    </row>
    <row r="213" spans="1:23" x14ac:dyDescent="0.2">
      <c r="A213" s="79">
        <f t="shared" si="55"/>
        <v>0</v>
      </c>
      <c r="B213" s="79"/>
      <c r="C213" s="215"/>
      <c r="D213" s="80">
        <f t="shared" si="57"/>
        <v>0</v>
      </c>
      <c r="E213" s="80">
        <f t="shared" si="57"/>
        <v>0</v>
      </c>
      <c r="F213" s="80">
        <f t="shared" si="57"/>
        <v>0</v>
      </c>
      <c r="G213" s="80">
        <f t="shared" si="57"/>
        <v>0</v>
      </c>
      <c r="H213" s="80">
        <f t="shared" si="57"/>
        <v>0</v>
      </c>
      <c r="I213" s="80">
        <f t="shared" si="57"/>
        <v>0</v>
      </c>
      <c r="J213" s="80">
        <f t="shared" si="57"/>
        <v>0</v>
      </c>
      <c r="K213" s="78"/>
      <c r="L213" s="78"/>
      <c r="M213" s="78"/>
      <c r="N213" s="78"/>
      <c r="O213" s="78"/>
      <c r="P213" s="78"/>
      <c r="Q213" s="78"/>
      <c r="R213" s="78"/>
      <c r="S213" s="78"/>
      <c r="T213" s="78"/>
      <c r="U213" s="78"/>
      <c r="V213" s="78"/>
      <c r="W213" s="78"/>
    </row>
    <row r="214" spans="1:23" x14ac:dyDescent="0.2">
      <c r="A214" s="79" t="str">
        <f t="shared" si="55"/>
        <v>Summer</v>
      </c>
      <c r="B214" s="79"/>
      <c r="C214" s="215"/>
      <c r="D214" s="80">
        <f t="shared" si="57"/>
        <v>0</v>
      </c>
      <c r="E214" s="80">
        <f t="shared" si="57"/>
        <v>0</v>
      </c>
      <c r="F214" s="80">
        <f t="shared" si="57"/>
        <v>0</v>
      </c>
      <c r="G214" s="80">
        <f t="shared" si="57"/>
        <v>0</v>
      </c>
      <c r="H214" s="80">
        <f t="shared" si="57"/>
        <v>0</v>
      </c>
      <c r="I214" s="80">
        <f t="shared" si="57"/>
        <v>0</v>
      </c>
      <c r="J214" s="80">
        <f t="shared" si="57"/>
        <v>0</v>
      </c>
      <c r="K214" s="78"/>
      <c r="L214" s="78"/>
      <c r="M214" s="78"/>
      <c r="N214" s="78"/>
      <c r="O214" s="78"/>
      <c r="P214" s="78"/>
      <c r="Q214" s="78"/>
      <c r="R214" s="78"/>
      <c r="S214" s="78"/>
      <c r="T214" s="78"/>
      <c r="U214" s="78"/>
      <c r="V214" s="78"/>
      <c r="W214" s="78"/>
    </row>
    <row r="215" spans="1:23" x14ac:dyDescent="0.2">
      <c r="A215" s="79">
        <f t="shared" si="55"/>
        <v>0</v>
      </c>
      <c r="B215" s="79"/>
      <c r="C215" s="215"/>
      <c r="D215" s="80">
        <f t="shared" si="57"/>
        <v>0</v>
      </c>
      <c r="E215" s="80">
        <f t="shared" si="57"/>
        <v>0</v>
      </c>
      <c r="F215" s="80">
        <f t="shared" si="57"/>
        <v>0</v>
      </c>
      <c r="G215" s="80">
        <f t="shared" si="57"/>
        <v>0</v>
      </c>
      <c r="H215" s="80">
        <f t="shared" si="57"/>
        <v>0</v>
      </c>
      <c r="I215" s="80">
        <f t="shared" si="57"/>
        <v>0</v>
      </c>
      <c r="J215" s="80">
        <f t="shared" si="57"/>
        <v>0</v>
      </c>
      <c r="K215" s="78"/>
      <c r="L215" s="78"/>
      <c r="M215" s="78"/>
      <c r="N215" s="78"/>
      <c r="O215" s="78"/>
      <c r="P215" s="78"/>
      <c r="Q215" s="78"/>
      <c r="R215" s="78"/>
      <c r="S215" s="78"/>
      <c r="T215" s="78"/>
      <c r="U215" s="78"/>
      <c r="V215" s="78"/>
      <c r="W215" s="78"/>
    </row>
    <row r="216" spans="1:23" x14ac:dyDescent="0.2">
      <c r="A216" s="79">
        <f t="shared" si="55"/>
        <v>0</v>
      </c>
      <c r="B216" s="79"/>
      <c r="C216" s="215"/>
      <c r="D216" s="80">
        <f t="shared" si="57"/>
        <v>0</v>
      </c>
      <c r="E216" s="80">
        <f t="shared" si="57"/>
        <v>0</v>
      </c>
      <c r="F216" s="80">
        <f t="shared" si="57"/>
        <v>0</v>
      </c>
      <c r="G216" s="80">
        <f t="shared" si="57"/>
        <v>0</v>
      </c>
      <c r="H216" s="80">
        <f t="shared" si="57"/>
        <v>0</v>
      </c>
      <c r="I216" s="80">
        <f t="shared" si="57"/>
        <v>0</v>
      </c>
      <c r="J216" s="80">
        <f t="shared" si="57"/>
        <v>0</v>
      </c>
      <c r="K216" s="78"/>
      <c r="L216" s="78"/>
      <c r="M216" s="78"/>
      <c r="N216" s="78"/>
      <c r="O216" s="78"/>
      <c r="P216" s="78"/>
      <c r="Q216" s="78"/>
      <c r="R216" s="78"/>
      <c r="S216" s="78"/>
      <c r="T216" s="78"/>
      <c r="U216" s="78"/>
      <c r="V216" s="78"/>
      <c r="W216" s="78"/>
    </row>
    <row r="217" spans="1:23" x14ac:dyDescent="0.2">
      <c r="A217" s="79" t="str">
        <f t="shared" si="55"/>
        <v>Onion</v>
      </c>
      <c r="B217" s="79"/>
      <c r="C217" s="215"/>
      <c r="D217" s="80">
        <f t="shared" ref="D217:J219" si="58">C82*$C217*D$124</f>
        <v>0</v>
      </c>
      <c r="E217" s="80">
        <f t="shared" si="58"/>
        <v>0</v>
      </c>
      <c r="F217" s="80">
        <f t="shared" si="58"/>
        <v>0</v>
      </c>
      <c r="G217" s="80">
        <f t="shared" si="58"/>
        <v>0</v>
      </c>
      <c r="H217" s="80">
        <f t="shared" si="58"/>
        <v>0</v>
      </c>
      <c r="I217" s="80">
        <f t="shared" si="58"/>
        <v>0</v>
      </c>
      <c r="J217" s="80">
        <f t="shared" si="58"/>
        <v>0</v>
      </c>
      <c r="K217" s="78"/>
      <c r="L217" s="78"/>
      <c r="M217" s="78"/>
      <c r="N217" s="78"/>
      <c r="O217" s="78"/>
      <c r="P217" s="78"/>
      <c r="Q217" s="78"/>
      <c r="R217" s="78"/>
      <c r="S217" s="78"/>
      <c r="T217" s="78"/>
      <c r="U217" s="78"/>
      <c r="V217" s="78"/>
      <c r="W217" s="78"/>
    </row>
    <row r="218" spans="1:23" x14ac:dyDescent="0.2">
      <c r="A218" s="79" t="str">
        <f t="shared" si="55"/>
        <v>Tomato</v>
      </c>
      <c r="B218" s="79"/>
      <c r="C218" s="215"/>
      <c r="D218" s="80">
        <f t="shared" si="58"/>
        <v>0</v>
      </c>
      <c r="E218" s="80">
        <f t="shared" si="58"/>
        <v>0</v>
      </c>
      <c r="F218" s="80">
        <f t="shared" si="58"/>
        <v>0</v>
      </c>
      <c r="G218" s="80">
        <f t="shared" si="58"/>
        <v>0</v>
      </c>
      <c r="H218" s="80">
        <f t="shared" si="58"/>
        <v>0</v>
      </c>
      <c r="I218" s="80">
        <f t="shared" si="58"/>
        <v>0</v>
      </c>
      <c r="J218" s="80">
        <f t="shared" si="58"/>
        <v>0</v>
      </c>
      <c r="K218" s="78"/>
      <c r="L218" s="78"/>
      <c r="M218" s="78"/>
      <c r="N218" s="78"/>
      <c r="O218" s="78"/>
      <c r="P218" s="78"/>
      <c r="Q218" s="78"/>
      <c r="R218" s="78"/>
      <c r="S218" s="78"/>
      <c r="T218" s="78"/>
      <c r="U218" s="78"/>
      <c r="V218" s="78"/>
      <c r="W218" s="78"/>
    </row>
    <row r="219" spans="1:23" x14ac:dyDescent="0.2">
      <c r="A219" s="79" t="str">
        <f t="shared" si="55"/>
        <v>Okra</v>
      </c>
      <c r="B219" s="79"/>
      <c r="C219" s="215"/>
      <c r="D219" s="80">
        <f t="shared" si="58"/>
        <v>0</v>
      </c>
      <c r="E219" s="80">
        <f t="shared" si="58"/>
        <v>0</v>
      </c>
      <c r="F219" s="80">
        <f t="shared" si="58"/>
        <v>0</v>
      </c>
      <c r="G219" s="80">
        <f t="shared" si="58"/>
        <v>0</v>
      </c>
      <c r="H219" s="80">
        <f t="shared" si="58"/>
        <v>0</v>
      </c>
      <c r="I219" s="80">
        <f t="shared" si="58"/>
        <v>0</v>
      </c>
      <c r="J219" s="80">
        <f t="shared" si="58"/>
        <v>0</v>
      </c>
      <c r="K219" s="78"/>
      <c r="L219" s="78"/>
      <c r="M219" s="78"/>
      <c r="N219" s="78"/>
      <c r="O219" s="78"/>
      <c r="P219" s="78"/>
      <c r="Q219" s="78"/>
      <c r="R219" s="78"/>
      <c r="S219" s="78"/>
      <c r="T219" s="78"/>
      <c r="U219" s="78"/>
      <c r="V219" s="78"/>
      <c r="W219" s="78"/>
    </row>
    <row r="220" spans="1:23" x14ac:dyDescent="0.2">
      <c r="A220" s="79" t="str">
        <f t="shared" si="55"/>
        <v>10 Grain Crop Production Details</v>
      </c>
      <c r="B220" s="79"/>
      <c r="C220" s="80"/>
      <c r="D220" s="80"/>
      <c r="E220" s="80"/>
      <c r="F220" s="80"/>
      <c r="G220" s="80"/>
      <c r="H220" s="80"/>
      <c r="I220" s="80"/>
      <c r="J220" s="80"/>
      <c r="K220" s="78"/>
      <c r="L220" s="78"/>
      <c r="M220" s="78"/>
      <c r="N220" s="78"/>
      <c r="O220" s="78"/>
      <c r="P220" s="78"/>
      <c r="Q220" s="78"/>
      <c r="R220" s="78"/>
      <c r="S220" s="78"/>
      <c r="T220" s="78"/>
      <c r="U220" s="78"/>
      <c r="V220" s="78"/>
      <c r="W220" s="78"/>
    </row>
    <row r="221" spans="1:23" x14ac:dyDescent="0.2">
      <c r="A221" s="79" t="str">
        <f t="shared" si="55"/>
        <v>Assumptions:</v>
      </c>
      <c r="B221" s="79"/>
      <c r="C221" s="215"/>
      <c r="D221" s="80">
        <f t="shared" ref="D221:J230" si="59">C86*$C221*D$124</f>
        <v>0</v>
      </c>
      <c r="E221" s="80">
        <f t="shared" si="59"/>
        <v>0</v>
      </c>
      <c r="F221" s="80">
        <f t="shared" si="59"/>
        <v>0</v>
      </c>
      <c r="G221" s="80">
        <f t="shared" si="59"/>
        <v>0</v>
      </c>
      <c r="H221" s="80">
        <f t="shared" si="59"/>
        <v>0</v>
      </c>
      <c r="I221" s="80">
        <f t="shared" si="59"/>
        <v>0</v>
      </c>
      <c r="J221" s="80">
        <f t="shared" si="59"/>
        <v>0</v>
      </c>
      <c r="K221" s="78"/>
      <c r="L221" s="78"/>
      <c r="M221" s="78"/>
      <c r="N221" s="78"/>
      <c r="O221" s="78"/>
      <c r="P221" s="78"/>
      <c r="Q221" s="78"/>
      <c r="R221" s="78"/>
      <c r="S221" s="78"/>
      <c r="T221" s="78"/>
      <c r="U221" s="78"/>
      <c r="V221" s="78"/>
      <c r="W221" s="78"/>
    </row>
    <row r="222" spans="1:23" x14ac:dyDescent="0.2">
      <c r="A222" s="79" t="e">
        <f t="shared" si="55"/>
        <v>#REF!</v>
      </c>
      <c r="B222" s="79"/>
      <c r="C222" s="215"/>
      <c r="D222" s="80" t="e">
        <f t="shared" si="59"/>
        <v>#REF!</v>
      </c>
      <c r="E222" s="80" t="e">
        <f t="shared" si="59"/>
        <v>#REF!</v>
      </c>
      <c r="F222" s="80" t="e">
        <f t="shared" si="59"/>
        <v>#REF!</v>
      </c>
      <c r="G222" s="80" t="e">
        <f t="shared" si="59"/>
        <v>#REF!</v>
      </c>
      <c r="H222" s="80" t="e">
        <f t="shared" si="59"/>
        <v>#REF!</v>
      </c>
      <c r="I222" s="80" t="e">
        <f t="shared" si="59"/>
        <v>#REF!</v>
      </c>
      <c r="J222" s="80" t="e">
        <f t="shared" si="59"/>
        <v>#REF!</v>
      </c>
      <c r="K222" s="78"/>
      <c r="L222" s="78"/>
      <c r="M222" s="78"/>
      <c r="N222" s="78"/>
      <c r="O222" s="78"/>
      <c r="P222" s="78"/>
      <c r="Q222" s="78"/>
      <c r="R222" s="78"/>
      <c r="S222" s="78"/>
      <c r="T222" s="78"/>
      <c r="U222" s="78"/>
      <c r="V222" s="78"/>
      <c r="W222" s="78"/>
    </row>
    <row r="223" spans="1:23" x14ac:dyDescent="0.2">
      <c r="A223" s="79" t="e">
        <f t="shared" si="55"/>
        <v>#REF!</v>
      </c>
      <c r="B223" s="79"/>
      <c r="C223" s="215"/>
      <c r="D223" s="80" t="e">
        <f t="shared" si="59"/>
        <v>#REF!</v>
      </c>
      <c r="E223" s="80" t="e">
        <f t="shared" si="59"/>
        <v>#REF!</v>
      </c>
      <c r="F223" s="80" t="e">
        <f t="shared" si="59"/>
        <v>#REF!</v>
      </c>
      <c r="G223" s="80" t="e">
        <f t="shared" si="59"/>
        <v>#REF!</v>
      </c>
      <c r="H223" s="80" t="e">
        <f t="shared" si="59"/>
        <v>#REF!</v>
      </c>
      <c r="I223" s="80" t="e">
        <f t="shared" si="59"/>
        <v>#REF!</v>
      </c>
      <c r="J223" s="80" t="e">
        <f t="shared" si="59"/>
        <v>#REF!</v>
      </c>
      <c r="K223" s="78"/>
      <c r="L223" s="78"/>
      <c r="M223" s="78"/>
      <c r="N223" s="78"/>
      <c r="O223" s="78"/>
      <c r="P223" s="78"/>
      <c r="Q223" s="78"/>
      <c r="R223" s="78"/>
      <c r="S223" s="78"/>
      <c r="T223" s="78"/>
      <c r="U223" s="78"/>
      <c r="V223" s="78"/>
      <c r="W223" s="78"/>
    </row>
    <row r="224" spans="1:23" x14ac:dyDescent="0.2">
      <c r="A224" s="79">
        <f t="shared" si="55"/>
        <v>1</v>
      </c>
      <c r="B224" s="79"/>
      <c r="C224" s="215"/>
      <c r="D224" s="80" t="e">
        <f t="shared" si="59"/>
        <v>#VALUE!</v>
      </c>
      <c r="E224" s="80">
        <f t="shared" si="59"/>
        <v>0</v>
      </c>
      <c r="F224" s="80">
        <f t="shared" si="59"/>
        <v>0</v>
      </c>
      <c r="G224" s="80">
        <f t="shared" si="59"/>
        <v>0</v>
      </c>
      <c r="H224" s="80">
        <f t="shared" si="59"/>
        <v>0</v>
      </c>
      <c r="I224" s="80">
        <f t="shared" si="59"/>
        <v>0</v>
      </c>
      <c r="J224" s="80">
        <f t="shared" si="59"/>
        <v>0</v>
      </c>
      <c r="K224" s="78"/>
      <c r="L224" s="78"/>
      <c r="M224" s="78"/>
      <c r="N224" s="78"/>
      <c r="O224" s="78"/>
      <c r="P224" s="78"/>
      <c r="Q224" s="78"/>
      <c r="R224" s="78"/>
      <c r="S224" s="78"/>
      <c r="T224" s="78"/>
      <c r="U224" s="78"/>
      <c r="V224" s="78"/>
      <c r="W224" s="78"/>
    </row>
    <row r="225" spans="1:23" x14ac:dyDescent="0.2">
      <c r="A225" s="79" t="e">
        <f t="shared" si="55"/>
        <v>#REF!</v>
      </c>
      <c r="B225" s="79"/>
      <c r="C225" s="215"/>
      <c r="D225" s="80" t="e">
        <f t="shared" si="59"/>
        <v>#REF!</v>
      </c>
      <c r="E225" s="80" t="e">
        <f t="shared" si="59"/>
        <v>#REF!</v>
      </c>
      <c r="F225" s="80" t="e">
        <f t="shared" si="59"/>
        <v>#REF!</v>
      </c>
      <c r="G225" s="80" t="e">
        <f t="shared" si="59"/>
        <v>#REF!</v>
      </c>
      <c r="H225" s="80" t="e">
        <f t="shared" si="59"/>
        <v>#REF!</v>
      </c>
      <c r="I225" s="80" t="e">
        <f t="shared" si="59"/>
        <v>#REF!</v>
      </c>
      <c r="J225" s="80" t="e">
        <f t="shared" si="59"/>
        <v>#REF!</v>
      </c>
      <c r="K225" s="78"/>
      <c r="L225" s="78"/>
      <c r="M225" s="78"/>
      <c r="N225" s="78"/>
      <c r="O225" s="78"/>
      <c r="P225" s="78"/>
      <c r="Q225" s="78"/>
      <c r="R225" s="78"/>
      <c r="S225" s="78"/>
      <c r="T225" s="78"/>
      <c r="U225" s="78"/>
      <c r="V225" s="78"/>
      <c r="W225" s="78"/>
    </row>
    <row r="226" spans="1:23" x14ac:dyDescent="0.2">
      <c r="A226" s="79" t="e">
        <f t="shared" si="55"/>
        <v>#REF!</v>
      </c>
      <c r="B226" s="79"/>
      <c r="C226" s="215"/>
      <c r="D226" s="80" t="e">
        <f t="shared" si="59"/>
        <v>#REF!</v>
      </c>
      <c r="E226" s="80" t="e">
        <f t="shared" si="59"/>
        <v>#REF!</v>
      </c>
      <c r="F226" s="80" t="e">
        <f t="shared" si="59"/>
        <v>#REF!</v>
      </c>
      <c r="G226" s="80" t="e">
        <f t="shared" si="59"/>
        <v>#REF!</v>
      </c>
      <c r="H226" s="80" t="e">
        <f t="shared" si="59"/>
        <v>#REF!</v>
      </c>
      <c r="I226" s="80" t="e">
        <f t="shared" si="59"/>
        <v>#REF!</v>
      </c>
      <c r="J226" s="80" t="e">
        <f t="shared" si="59"/>
        <v>#REF!</v>
      </c>
      <c r="K226" s="78"/>
      <c r="L226" s="78"/>
      <c r="M226" s="78"/>
      <c r="N226" s="78"/>
      <c r="O226" s="78"/>
      <c r="P226" s="78"/>
      <c r="Q226" s="78"/>
      <c r="R226" s="78"/>
      <c r="S226" s="78"/>
      <c r="T226" s="78"/>
      <c r="U226" s="78"/>
      <c r="V226" s="78"/>
      <c r="W226" s="78"/>
    </row>
    <row r="227" spans="1:23" x14ac:dyDescent="0.2">
      <c r="A227" s="79" t="e">
        <f t="shared" si="55"/>
        <v>#REF!</v>
      </c>
      <c r="B227" s="79"/>
      <c r="C227" s="215"/>
      <c r="D227" s="80" t="e">
        <f t="shared" si="59"/>
        <v>#REF!</v>
      </c>
      <c r="E227" s="80" t="e">
        <f t="shared" si="59"/>
        <v>#REF!</v>
      </c>
      <c r="F227" s="80" t="e">
        <f t="shared" si="59"/>
        <v>#REF!</v>
      </c>
      <c r="G227" s="80" t="e">
        <f t="shared" si="59"/>
        <v>#REF!</v>
      </c>
      <c r="H227" s="80" t="e">
        <f t="shared" si="59"/>
        <v>#REF!</v>
      </c>
      <c r="I227" s="80" t="e">
        <f t="shared" si="59"/>
        <v>#REF!</v>
      </c>
      <c r="J227" s="80" t="e">
        <f t="shared" si="59"/>
        <v>#REF!</v>
      </c>
      <c r="K227" s="78"/>
      <c r="L227" s="78"/>
      <c r="M227" s="78"/>
      <c r="N227" s="78"/>
      <c r="O227" s="78"/>
      <c r="P227" s="78"/>
      <c r="Q227" s="78"/>
      <c r="R227" s="78"/>
      <c r="S227" s="78"/>
      <c r="T227" s="78"/>
      <c r="U227" s="78"/>
      <c r="V227" s="78"/>
      <c r="W227" s="78"/>
    </row>
    <row r="228" spans="1:23" x14ac:dyDescent="0.2">
      <c r="A228" s="79" t="e">
        <f t="shared" si="55"/>
        <v>#REF!</v>
      </c>
      <c r="B228" s="79"/>
      <c r="C228" s="215"/>
      <c r="D228" s="80" t="e">
        <f t="shared" si="59"/>
        <v>#REF!</v>
      </c>
      <c r="E228" s="80" t="e">
        <f t="shared" si="59"/>
        <v>#REF!</v>
      </c>
      <c r="F228" s="80" t="e">
        <f t="shared" si="59"/>
        <v>#REF!</v>
      </c>
      <c r="G228" s="80" t="e">
        <f t="shared" si="59"/>
        <v>#REF!</v>
      </c>
      <c r="H228" s="80" t="e">
        <f t="shared" si="59"/>
        <v>#REF!</v>
      </c>
      <c r="I228" s="80" t="e">
        <f t="shared" si="59"/>
        <v>#REF!</v>
      </c>
      <c r="J228" s="80" t="e">
        <f t="shared" si="59"/>
        <v>#REF!</v>
      </c>
      <c r="K228" s="78"/>
      <c r="L228" s="78"/>
      <c r="M228" s="78"/>
      <c r="N228" s="78"/>
      <c r="O228" s="78"/>
      <c r="P228" s="78"/>
      <c r="Q228" s="78"/>
      <c r="R228" s="78"/>
      <c r="S228" s="78"/>
      <c r="T228" s="78"/>
      <c r="U228" s="78"/>
      <c r="V228" s="78"/>
      <c r="W228" s="78"/>
    </row>
    <row r="229" spans="1:23" x14ac:dyDescent="0.2">
      <c r="A229" s="79" t="e">
        <f t="shared" si="55"/>
        <v>#REF!</v>
      </c>
      <c r="B229" s="79"/>
      <c r="C229" s="215"/>
      <c r="D229" s="80" t="e">
        <f t="shared" si="59"/>
        <v>#REF!</v>
      </c>
      <c r="E229" s="80" t="e">
        <f t="shared" si="59"/>
        <v>#REF!</v>
      </c>
      <c r="F229" s="80" t="e">
        <f t="shared" si="59"/>
        <v>#REF!</v>
      </c>
      <c r="G229" s="80" t="e">
        <f t="shared" si="59"/>
        <v>#REF!</v>
      </c>
      <c r="H229" s="80" t="e">
        <f t="shared" si="59"/>
        <v>#REF!</v>
      </c>
      <c r="I229" s="80" t="e">
        <f t="shared" si="59"/>
        <v>#REF!</v>
      </c>
      <c r="J229" s="80" t="e">
        <f t="shared" si="59"/>
        <v>#REF!</v>
      </c>
      <c r="K229" s="78"/>
      <c r="L229" s="78"/>
      <c r="M229" s="78"/>
      <c r="N229" s="78"/>
      <c r="O229" s="78"/>
      <c r="P229" s="78"/>
      <c r="Q229" s="78"/>
      <c r="R229" s="78"/>
      <c r="S229" s="78"/>
      <c r="T229" s="78"/>
      <c r="U229" s="78"/>
      <c r="V229" s="78"/>
      <c r="W229" s="78"/>
    </row>
    <row r="230" spans="1:23" x14ac:dyDescent="0.2">
      <c r="A230" s="79" t="e">
        <f t="shared" si="55"/>
        <v>#REF!</v>
      </c>
      <c r="B230" s="79"/>
      <c r="C230" s="215"/>
      <c r="D230" s="80" t="e">
        <f t="shared" si="59"/>
        <v>#REF!</v>
      </c>
      <c r="E230" s="80" t="e">
        <f t="shared" si="59"/>
        <v>#REF!</v>
      </c>
      <c r="F230" s="80" t="e">
        <f t="shared" si="59"/>
        <v>#REF!</v>
      </c>
      <c r="G230" s="80" t="e">
        <f t="shared" si="59"/>
        <v>#REF!</v>
      </c>
      <c r="H230" s="80" t="e">
        <f t="shared" si="59"/>
        <v>#REF!</v>
      </c>
      <c r="I230" s="80" t="e">
        <f t="shared" si="59"/>
        <v>#REF!</v>
      </c>
      <c r="J230" s="80" t="e">
        <f t="shared" si="59"/>
        <v>#REF!</v>
      </c>
      <c r="K230" s="78"/>
      <c r="L230" s="78"/>
      <c r="M230" s="78"/>
      <c r="N230" s="78"/>
      <c r="O230" s="78"/>
      <c r="P230" s="78"/>
      <c r="Q230" s="78"/>
      <c r="R230" s="78"/>
      <c r="S230" s="78"/>
      <c r="T230" s="78"/>
      <c r="U230" s="78"/>
      <c r="V230" s="78"/>
      <c r="W230" s="78"/>
    </row>
    <row r="231" spans="1:23" x14ac:dyDescent="0.2">
      <c r="A231" s="79" t="e">
        <f t="shared" si="55"/>
        <v>#REF!</v>
      </c>
      <c r="B231" s="79"/>
      <c r="C231" s="215"/>
      <c r="D231" s="80" t="e">
        <f t="shared" ref="D231:J238" si="60">C96*$C231*D$124</f>
        <v>#REF!</v>
      </c>
      <c r="E231" s="80" t="e">
        <f t="shared" si="60"/>
        <v>#REF!</v>
      </c>
      <c r="F231" s="80" t="e">
        <f t="shared" si="60"/>
        <v>#REF!</v>
      </c>
      <c r="G231" s="80" t="e">
        <f t="shared" si="60"/>
        <v>#REF!</v>
      </c>
      <c r="H231" s="80" t="e">
        <f t="shared" si="60"/>
        <v>#REF!</v>
      </c>
      <c r="I231" s="80" t="e">
        <f t="shared" si="60"/>
        <v>#REF!</v>
      </c>
      <c r="J231" s="80" t="e">
        <f t="shared" si="60"/>
        <v>#REF!</v>
      </c>
      <c r="K231" s="78"/>
      <c r="L231" s="78"/>
      <c r="M231" s="78"/>
      <c r="N231" s="78"/>
      <c r="O231" s="78"/>
      <c r="P231" s="78"/>
      <c r="Q231" s="78"/>
      <c r="R231" s="78"/>
      <c r="S231" s="78"/>
      <c r="T231" s="78"/>
      <c r="U231" s="78"/>
      <c r="V231" s="78"/>
      <c r="W231" s="78"/>
    </row>
    <row r="232" spans="1:23" x14ac:dyDescent="0.2">
      <c r="A232" s="79" t="e">
        <f t="shared" si="55"/>
        <v>#REF!</v>
      </c>
      <c r="B232" s="79"/>
      <c r="C232" s="215"/>
      <c r="D232" s="80" t="e">
        <f t="shared" si="60"/>
        <v>#REF!</v>
      </c>
      <c r="E232" s="80" t="e">
        <f t="shared" si="60"/>
        <v>#REF!</v>
      </c>
      <c r="F232" s="80" t="e">
        <f t="shared" si="60"/>
        <v>#REF!</v>
      </c>
      <c r="G232" s="80" t="e">
        <f t="shared" si="60"/>
        <v>#REF!</v>
      </c>
      <c r="H232" s="80" t="e">
        <f t="shared" si="60"/>
        <v>#REF!</v>
      </c>
      <c r="I232" s="80" t="e">
        <f t="shared" si="60"/>
        <v>#REF!</v>
      </c>
      <c r="J232" s="80" t="e">
        <f t="shared" si="60"/>
        <v>#REF!</v>
      </c>
      <c r="K232" s="78"/>
      <c r="L232" s="78"/>
      <c r="M232" s="78"/>
      <c r="N232" s="78"/>
      <c r="O232" s="78"/>
      <c r="P232" s="78"/>
      <c r="Q232" s="78"/>
      <c r="R232" s="78"/>
      <c r="S232" s="78"/>
      <c r="T232" s="78"/>
      <c r="U232" s="78"/>
      <c r="V232" s="78"/>
      <c r="W232" s="78"/>
    </row>
    <row r="233" spans="1:23" x14ac:dyDescent="0.2">
      <c r="A233" s="79" t="e">
        <f t="shared" si="55"/>
        <v>#REF!</v>
      </c>
      <c r="B233" s="79"/>
      <c r="C233" s="215"/>
      <c r="D233" s="80" t="e">
        <f t="shared" si="60"/>
        <v>#REF!</v>
      </c>
      <c r="E233" s="80" t="e">
        <f t="shared" si="60"/>
        <v>#REF!</v>
      </c>
      <c r="F233" s="80" t="e">
        <f t="shared" si="60"/>
        <v>#REF!</v>
      </c>
      <c r="G233" s="80" t="e">
        <f t="shared" si="60"/>
        <v>#REF!</v>
      </c>
      <c r="H233" s="80" t="e">
        <f t="shared" si="60"/>
        <v>#REF!</v>
      </c>
      <c r="I233" s="80" t="e">
        <f t="shared" si="60"/>
        <v>#REF!</v>
      </c>
      <c r="J233" s="80" t="e">
        <f t="shared" si="60"/>
        <v>#REF!</v>
      </c>
      <c r="K233" s="78"/>
      <c r="L233" s="78"/>
      <c r="M233" s="78"/>
      <c r="N233" s="78"/>
      <c r="O233" s="78"/>
      <c r="P233" s="78"/>
      <c r="Q233" s="78"/>
      <c r="R233" s="78"/>
      <c r="S233" s="78"/>
      <c r="T233" s="78"/>
      <c r="U233" s="78"/>
      <c r="V233" s="78"/>
      <c r="W233" s="78"/>
    </row>
    <row r="234" spans="1:23" x14ac:dyDescent="0.2">
      <c r="A234" s="79" t="e">
        <f t="shared" si="55"/>
        <v>#REF!</v>
      </c>
      <c r="B234" s="79"/>
      <c r="C234" s="215"/>
      <c r="D234" s="80" t="e">
        <f t="shared" si="60"/>
        <v>#REF!</v>
      </c>
      <c r="E234" s="80" t="e">
        <f t="shared" si="60"/>
        <v>#REF!</v>
      </c>
      <c r="F234" s="80" t="e">
        <f t="shared" si="60"/>
        <v>#REF!</v>
      </c>
      <c r="G234" s="80" t="e">
        <f t="shared" si="60"/>
        <v>#REF!</v>
      </c>
      <c r="H234" s="80" t="e">
        <f t="shared" si="60"/>
        <v>#REF!</v>
      </c>
      <c r="I234" s="80" t="e">
        <f t="shared" si="60"/>
        <v>#REF!</v>
      </c>
      <c r="J234" s="80" t="e">
        <f t="shared" si="60"/>
        <v>#REF!</v>
      </c>
      <c r="K234" s="78"/>
      <c r="L234" s="78"/>
      <c r="M234" s="78"/>
      <c r="N234" s="78"/>
      <c r="O234" s="78"/>
      <c r="P234" s="78"/>
      <c r="Q234" s="78"/>
      <c r="R234" s="78"/>
      <c r="S234" s="78"/>
      <c r="T234" s="78"/>
      <c r="U234" s="78"/>
      <c r="V234" s="78"/>
      <c r="W234" s="78"/>
    </row>
    <row r="235" spans="1:23" x14ac:dyDescent="0.2">
      <c r="A235" s="79" t="e">
        <f t="shared" si="55"/>
        <v>#REF!</v>
      </c>
      <c r="B235" s="79"/>
      <c r="C235" s="215"/>
      <c r="D235" s="80" t="e">
        <f t="shared" si="60"/>
        <v>#REF!</v>
      </c>
      <c r="E235" s="80" t="e">
        <f t="shared" si="60"/>
        <v>#REF!</v>
      </c>
      <c r="F235" s="80" t="e">
        <f t="shared" si="60"/>
        <v>#REF!</v>
      </c>
      <c r="G235" s="80" t="e">
        <f t="shared" si="60"/>
        <v>#REF!</v>
      </c>
      <c r="H235" s="80" t="e">
        <f t="shared" si="60"/>
        <v>#REF!</v>
      </c>
      <c r="I235" s="80" t="e">
        <f t="shared" si="60"/>
        <v>#REF!</v>
      </c>
      <c r="J235" s="80" t="e">
        <f t="shared" si="60"/>
        <v>#REF!</v>
      </c>
      <c r="K235" s="78"/>
      <c r="L235" s="78"/>
      <c r="M235" s="78"/>
      <c r="N235" s="78"/>
      <c r="O235" s="78"/>
      <c r="P235" s="78"/>
      <c r="Q235" s="78"/>
      <c r="R235" s="78"/>
      <c r="S235" s="78"/>
      <c r="T235" s="78"/>
      <c r="U235" s="78"/>
      <c r="V235" s="78"/>
      <c r="W235" s="78"/>
    </row>
    <row r="236" spans="1:23" x14ac:dyDescent="0.2">
      <c r="A236" s="79" t="e">
        <f t="shared" si="55"/>
        <v>#REF!</v>
      </c>
      <c r="B236" s="79"/>
      <c r="C236" s="215"/>
      <c r="D236" s="80" t="e">
        <f t="shared" si="60"/>
        <v>#REF!</v>
      </c>
      <c r="E236" s="80" t="e">
        <f t="shared" si="60"/>
        <v>#REF!</v>
      </c>
      <c r="F236" s="80" t="e">
        <f t="shared" si="60"/>
        <v>#REF!</v>
      </c>
      <c r="G236" s="80" t="e">
        <f t="shared" si="60"/>
        <v>#REF!</v>
      </c>
      <c r="H236" s="80" t="e">
        <f t="shared" si="60"/>
        <v>#REF!</v>
      </c>
      <c r="I236" s="80" t="e">
        <f t="shared" si="60"/>
        <v>#REF!</v>
      </c>
      <c r="J236" s="80" t="e">
        <f t="shared" si="60"/>
        <v>#REF!</v>
      </c>
      <c r="K236" s="78"/>
      <c r="L236" s="78"/>
      <c r="M236" s="78"/>
      <c r="N236" s="78"/>
      <c r="O236" s="78"/>
      <c r="P236" s="78"/>
      <c r="Q236" s="78"/>
      <c r="R236" s="78"/>
      <c r="S236" s="78"/>
      <c r="T236" s="78"/>
      <c r="U236" s="78"/>
      <c r="V236" s="78"/>
      <c r="W236" s="78"/>
    </row>
    <row r="237" spans="1:23" x14ac:dyDescent="0.2">
      <c r="A237" s="79" t="e">
        <f t="shared" si="55"/>
        <v>#REF!</v>
      </c>
      <c r="B237" s="79"/>
      <c r="C237" s="215"/>
      <c r="D237" s="80" t="e">
        <f t="shared" si="60"/>
        <v>#REF!</v>
      </c>
      <c r="E237" s="80" t="e">
        <f t="shared" si="60"/>
        <v>#REF!</v>
      </c>
      <c r="F237" s="80" t="e">
        <f t="shared" si="60"/>
        <v>#REF!</v>
      </c>
      <c r="G237" s="80" t="e">
        <f t="shared" si="60"/>
        <v>#REF!</v>
      </c>
      <c r="H237" s="80" t="e">
        <f t="shared" si="60"/>
        <v>#REF!</v>
      </c>
      <c r="I237" s="80" t="e">
        <f t="shared" si="60"/>
        <v>#REF!</v>
      </c>
      <c r="J237" s="80" t="e">
        <f t="shared" si="60"/>
        <v>#REF!</v>
      </c>
      <c r="K237" s="78"/>
      <c r="L237" s="78"/>
      <c r="M237" s="78"/>
      <c r="N237" s="78"/>
      <c r="O237" s="78"/>
      <c r="P237" s="78"/>
      <c r="Q237" s="78"/>
      <c r="R237" s="78"/>
      <c r="S237" s="78"/>
      <c r="T237" s="78"/>
      <c r="U237" s="78"/>
      <c r="V237" s="78"/>
      <c r="W237" s="78"/>
    </row>
    <row r="238" spans="1:23" x14ac:dyDescent="0.2">
      <c r="A238" s="79" t="e">
        <f t="shared" si="55"/>
        <v>#REF!</v>
      </c>
      <c r="B238" s="79"/>
      <c r="C238" s="215"/>
      <c r="D238" s="80" t="e">
        <f t="shared" si="60"/>
        <v>#REF!</v>
      </c>
      <c r="E238" s="80" t="e">
        <f t="shared" si="60"/>
        <v>#REF!</v>
      </c>
      <c r="F238" s="80" t="e">
        <f t="shared" si="60"/>
        <v>#REF!</v>
      </c>
      <c r="G238" s="80" t="e">
        <f t="shared" si="60"/>
        <v>#REF!</v>
      </c>
      <c r="H238" s="80" t="e">
        <f t="shared" si="60"/>
        <v>#REF!</v>
      </c>
      <c r="I238" s="80" t="e">
        <f t="shared" si="60"/>
        <v>#REF!</v>
      </c>
      <c r="J238" s="80" t="e">
        <f t="shared" si="60"/>
        <v>#REF!</v>
      </c>
      <c r="K238" s="78"/>
      <c r="L238" s="78"/>
      <c r="M238" s="78"/>
      <c r="N238" s="78"/>
      <c r="O238" s="78"/>
      <c r="P238" s="78"/>
      <c r="Q238" s="78"/>
      <c r="R238" s="78"/>
      <c r="S238" s="78"/>
      <c r="T238" s="78"/>
      <c r="U238" s="78"/>
      <c r="V238" s="78"/>
      <c r="W238" s="78"/>
    </row>
    <row r="239" spans="1:23" x14ac:dyDescent="0.2">
      <c r="A239" s="79" t="e">
        <f>A175</f>
        <v>#REF!</v>
      </c>
      <c r="B239" s="79"/>
      <c r="C239" s="215"/>
      <c r="D239" s="80" t="e">
        <f t="shared" ref="D239:J243" si="61">C107*$C239*D$124</f>
        <v>#REF!</v>
      </c>
      <c r="E239" s="80" t="e">
        <f t="shared" si="61"/>
        <v>#REF!</v>
      </c>
      <c r="F239" s="80" t="e">
        <f t="shared" si="61"/>
        <v>#REF!</v>
      </c>
      <c r="G239" s="80" t="e">
        <f t="shared" si="61"/>
        <v>#REF!</v>
      </c>
      <c r="H239" s="80" t="e">
        <f t="shared" si="61"/>
        <v>#REF!</v>
      </c>
      <c r="I239" s="80" t="e">
        <f t="shared" si="61"/>
        <v>#REF!</v>
      </c>
      <c r="J239" s="80" t="e">
        <f t="shared" si="61"/>
        <v>#REF!</v>
      </c>
      <c r="K239" s="78"/>
      <c r="L239" s="78"/>
      <c r="M239" s="78"/>
      <c r="N239" s="78"/>
      <c r="O239" s="78"/>
      <c r="P239" s="78"/>
      <c r="Q239" s="78"/>
      <c r="R239" s="78"/>
      <c r="S239" s="78"/>
      <c r="T239" s="78"/>
      <c r="U239" s="78"/>
      <c r="V239" s="78"/>
      <c r="W239" s="78"/>
    </row>
    <row r="240" spans="1:23" x14ac:dyDescent="0.2">
      <c r="A240" s="79" t="e">
        <f>A176</f>
        <v>#REF!</v>
      </c>
      <c r="B240" s="79"/>
      <c r="C240" s="215"/>
      <c r="D240" s="80" t="e">
        <f t="shared" si="61"/>
        <v>#REF!</v>
      </c>
      <c r="E240" s="80" t="e">
        <f t="shared" si="61"/>
        <v>#REF!</v>
      </c>
      <c r="F240" s="80" t="e">
        <f t="shared" si="61"/>
        <v>#REF!</v>
      </c>
      <c r="G240" s="80" t="e">
        <f t="shared" si="61"/>
        <v>#REF!</v>
      </c>
      <c r="H240" s="80" t="e">
        <f t="shared" si="61"/>
        <v>#REF!</v>
      </c>
      <c r="I240" s="80" t="e">
        <f t="shared" si="61"/>
        <v>#REF!</v>
      </c>
      <c r="J240" s="80" t="e">
        <f t="shared" si="61"/>
        <v>#REF!</v>
      </c>
      <c r="K240" s="78"/>
      <c r="L240" s="78"/>
      <c r="M240" s="78"/>
      <c r="N240" s="78"/>
      <c r="O240" s="78"/>
      <c r="P240" s="78"/>
      <c r="Q240" s="78"/>
      <c r="R240" s="78"/>
      <c r="S240" s="78"/>
      <c r="T240" s="78"/>
      <c r="U240" s="78"/>
      <c r="V240" s="78"/>
      <c r="W240" s="78"/>
    </row>
    <row r="241" spans="1:23" x14ac:dyDescent="0.2">
      <c r="A241" s="79" t="e">
        <f>A177</f>
        <v>#REF!</v>
      </c>
      <c r="B241" s="79"/>
      <c r="C241" s="215"/>
      <c r="D241" s="80" t="e">
        <f t="shared" si="61"/>
        <v>#REF!</v>
      </c>
      <c r="E241" s="80" t="e">
        <f t="shared" si="61"/>
        <v>#REF!</v>
      </c>
      <c r="F241" s="80" t="e">
        <f t="shared" si="61"/>
        <v>#REF!</v>
      </c>
      <c r="G241" s="80" t="e">
        <f t="shared" si="61"/>
        <v>#REF!</v>
      </c>
      <c r="H241" s="80" t="e">
        <f t="shared" si="61"/>
        <v>#REF!</v>
      </c>
      <c r="I241" s="80" t="e">
        <f t="shared" si="61"/>
        <v>#REF!</v>
      </c>
      <c r="J241" s="80" t="e">
        <f t="shared" si="61"/>
        <v>#REF!</v>
      </c>
      <c r="K241" s="78"/>
      <c r="L241" s="78"/>
      <c r="M241" s="78"/>
      <c r="N241" s="78"/>
      <c r="O241" s="78"/>
      <c r="P241" s="78"/>
      <c r="Q241" s="78"/>
      <c r="R241" s="78"/>
      <c r="S241" s="78"/>
      <c r="T241" s="78"/>
      <c r="U241" s="78"/>
      <c r="V241" s="78"/>
      <c r="W241" s="78"/>
    </row>
    <row r="242" spans="1:23" x14ac:dyDescent="0.2">
      <c r="A242" s="79" t="e">
        <f>A178</f>
        <v>#REF!</v>
      </c>
      <c r="B242" s="79"/>
      <c r="C242" s="215"/>
      <c r="D242" s="80" t="e">
        <f t="shared" si="61"/>
        <v>#REF!</v>
      </c>
      <c r="E242" s="80" t="e">
        <f t="shared" si="61"/>
        <v>#REF!</v>
      </c>
      <c r="F242" s="80" t="e">
        <f t="shared" si="61"/>
        <v>#REF!</v>
      </c>
      <c r="G242" s="80" t="e">
        <f t="shared" si="61"/>
        <v>#REF!</v>
      </c>
      <c r="H242" s="80" t="e">
        <f t="shared" si="61"/>
        <v>#REF!</v>
      </c>
      <c r="I242" s="80" t="e">
        <f t="shared" si="61"/>
        <v>#REF!</v>
      </c>
      <c r="J242" s="80" t="e">
        <f t="shared" si="61"/>
        <v>#REF!</v>
      </c>
      <c r="K242" s="78"/>
      <c r="L242" s="78"/>
      <c r="M242" s="78"/>
      <c r="N242" s="78"/>
      <c r="O242" s="78"/>
      <c r="P242" s="78"/>
      <c r="Q242" s="78"/>
      <c r="R242" s="78"/>
      <c r="S242" s="78"/>
      <c r="T242" s="78"/>
      <c r="U242" s="78"/>
      <c r="V242" s="78"/>
      <c r="W242" s="78"/>
    </row>
    <row r="243" spans="1:23" x14ac:dyDescent="0.2">
      <c r="A243" s="79">
        <f>A179</f>
        <v>0</v>
      </c>
      <c r="B243" s="79"/>
      <c r="C243" s="215"/>
      <c r="D243" s="80">
        <f t="shared" si="61"/>
        <v>0</v>
      </c>
      <c r="E243" s="80">
        <f t="shared" si="61"/>
        <v>0</v>
      </c>
      <c r="F243" s="80">
        <f t="shared" si="61"/>
        <v>0</v>
      </c>
      <c r="G243" s="80">
        <f t="shared" si="61"/>
        <v>0</v>
      </c>
      <c r="H243" s="80">
        <f t="shared" si="61"/>
        <v>0</v>
      </c>
      <c r="I243" s="80">
        <f t="shared" si="61"/>
        <v>0</v>
      </c>
      <c r="J243" s="80">
        <f t="shared" si="61"/>
        <v>0</v>
      </c>
      <c r="K243" s="78"/>
      <c r="L243" s="78"/>
      <c r="M243" s="78"/>
      <c r="N243" s="78"/>
      <c r="O243" s="78"/>
      <c r="P243" s="78"/>
      <c r="Q243" s="78"/>
      <c r="R243" s="78"/>
      <c r="S243" s="78"/>
      <c r="T243" s="78"/>
      <c r="U243" s="78"/>
      <c r="V243" s="78"/>
      <c r="W243" s="78"/>
    </row>
    <row r="244" spans="1:23" x14ac:dyDescent="0.2">
      <c r="A244" s="79" t="str">
        <f>A181</f>
        <v>Fertilizer(Rate/KG)</v>
      </c>
      <c r="B244" s="79"/>
      <c r="C244" s="80"/>
      <c r="D244" s="80"/>
      <c r="E244" s="80"/>
      <c r="F244" s="80"/>
      <c r="G244" s="80"/>
      <c r="H244" s="80"/>
      <c r="I244" s="80"/>
      <c r="J244" s="80"/>
      <c r="K244" s="78"/>
      <c r="L244" s="78"/>
      <c r="M244" s="78"/>
      <c r="N244" s="78"/>
      <c r="O244" s="78"/>
      <c r="P244" s="78"/>
      <c r="Q244" s="78"/>
      <c r="R244" s="78"/>
      <c r="S244" s="78"/>
      <c r="T244" s="78"/>
      <c r="U244" s="78"/>
      <c r="V244" s="78"/>
      <c r="W244" s="78"/>
    </row>
    <row r="245" spans="1:23" x14ac:dyDescent="0.2">
      <c r="A245" s="79" t="str">
        <f>A182</f>
        <v>SSP</v>
      </c>
      <c r="B245" s="79"/>
      <c r="C245" s="215">
        <v>6</v>
      </c>
      <c r="D245" s="80" t="e">
        <f t="shared" ref="D245:J245" si="62">C114*$C$245*D124</f>
        <v>#VALUE!</v>
      </c>
      <c r="E245" s="80" t="e">
        <f t="shared" si="62"/>
        <v>#VALUE!</v>
      </c>
      <c r="F245" s="80" t="e">
        <f t="shared" si="62"/>
        <v>#VALUE!</v>
      </c>
      <c r="G245" s="80" t="e">
        <f t="shared" si="62"/>
        <v>#VALUE!</v>
      </c>
      <c r="H245" s="80" t="e">
        <f t="shared" si="62"/>
        <v>#VALUE!</v>
      </c>
      <c r="I245" s="80" t="e">
        <f t="shared" si="62"/>
        <v>#VALUE!</v>
      </c>
      <c r="J245" s="80" t="e">
        <f t="shared" si="62"/>
        <v>#VALUE!</v>
      </c>
      <c r="K245" s="78"/>
      <c r="L245" s="78"/>
      <c r="M245" s="78"/>
      <c r="N245" s="78"/>
      <c r="O245" s="78"/>
      <c r="P245" s="78"/>
      <c r="Q245" s="78"/>
      <c r="R245" s="78"/>
      <c r="S245" s="78"/>
      <c r="T245" s="78"/>
      <c r="U245" s="78"/>
      <c r="V245" s="78"/>
      <c r="W245" s="78"/>
    </row>
    <row r="246" spans="1:23" x14ac:dyDescent="0.2">
      <c r="A246" s="79" t="str">
        <f>A183</f>
        <v>Urea</v>
      </c>
      <c r="B246" s="79"/>
      <c r="C246" s="215">
        <v>5</v>
      </c>
      <c r="D246" s="80" t="e">
        <f t="shared" ref="D246:J246" si="63">C115*$C$246*D124</f>
        <v>#VALUE!</v>
      </c>
      <c r="E246" s="80" t="e">
        <f t="shared" si="63"/>
        <v>#VALUE!</v>
      </c>
      <c r="F246" s="80" t="e">
        <f t="shared" si="63"/>
        <v>#VALUE!</v>
      </c>
      <c r="G246" s="80" t="e">
        <f t="shared" si="63"/>
        <v>#VALUE!</v>
      </c>
      <c r="H246" s="80" t="e">
        <f t="shared" si="63"/>
        <v>#VALUE!</v>
      </c>
      <c r="I246" s="80" t="e">
        <f t="shared" si="63"/>
        <v>#VALUE!</v>
      </c>
      <c r="J246" s="80" t="e">
        <f t="shared" si="63"/>
        <v>#VALUE!</v>
      </c>
      <c r="K246" s="78"/>
      <c r="L246" s="78"/>
      <c r="M246" s="78"/>
      <c r="N246" s="78"/>
      <c r="O246" s="78"/>
      <c r="P246" s="78"/>
      <c r="Q246" s="78"/>
      <c r="R246" s="78"/>
      <c r="S246" s="78"/>
      <c r="T246" s="78"/>
      <c r="U246" s="78"/>
      <c r="V246" s="78"/>
      <c r="W246" s="78"/>
    </row>
    <row r="247" spans="1:23" x14ac:dyDescent="0.2">
      <c r="A247" s="79" t="str">
        <f>A184</f>
        <v>DAP</v>
      </c>
      <c r="B247" s="79"/>
      <c r="C247" s="215">
        <v>27</v>
      </c>
      <c r="D247" s="80" t="e">
        <f t="shared" ref="D247:J247" si="64">C116*$C$247*D124</f>
        <v>#VALUE!</v>
      </c>
      <c r="E247" s="80" t="e">
        <f t="shared" si="64"/>
        <v>#VALUE!</v>
      </c>
      <c r="F247" s="80" t="e">
        <f t="shared" si="64"/>
        <v>#VALUE!</v>
      </c>
      <c r="G247" s="80" t="e">
        <f t="shared" si="64"/>
        <v>#VALUE!</v>
      </c>
      <c r="H247" s="80" t="e">
        <f t="shared" si="64"/>
        <v>#VALUE!</v>
      </c>
      <c r="I247" s="80" t="e">
        <f t="shared" si="64"/>
        <v>#VALUE!</v>
      </c>
      <c r="J247" s="80" t="e">
        <f t="shared" si="64"/>
        <v>#VALUE!</v>
      </c>
      <c r="K247" s="78"/>
      <c r="L247" s="78"/>
      <c r="M247" s="78"/>
      <c r="N247" s="78"/>
      <c r="O247" s="78"/>
      <c r="P247" s="78"/>
      <c r="Q247" s="78"/>
      <c r="R247" s="78"/>
      <c r="S247" s="78"/>
      <c r="T247" s="78"/>
      <c r="U247" s="78"/>
      <c r="V247" s="78"/>
      <c r="W247" s="78"/>
    </row>
    <row r="248" spans="1:23" x14ac:dyDescent="0.2">
      <c r="A248" s="79"/>
      <c r="B248" s="79"/>
      <c r="C248" s="80"/>
      <c r="D248" s="80"/>
      <c r="E248" s="80"/>
      <c r="F248" s="80"/>
      <c r="G248" s="80"/>
      <c r="H248" s="80"/>
      <c r="I248" s="80"/>
      <c r="J248" s="80"/>
      <c r="K248" s="78"/>
      <c r="L248" s="78"/>
      <c r="M248" s="78"/>
      <c r="N248" s="78"/>
      <c r="O248" s="78"/>
      <c r="P248" s="78"/>
      <c r="Q248" s="78"/>
      <c r="R248" s="78"/>
      <c r="S248" s="78"/>
      <c r="T248" s="78"/>
      <c r="U248" s="78"/>
      <c r="V248" s="78"/>
      <c r="W248" s="78"/>
    </row>
    <row r="249" spans="1:23" x14ac:dyDescent="0.2">
      <c r="A249" s="79" t="str">
        <f>A186</f>
        <v>Pesticide</v>
      </c>
      <c r="B249" s="79"/>
      <c r="C249" s="80"/>
      <c r="D249" s="80"/>
      <c r="E249" s="80"/>
      <c r="F249" s="80"/>
      <c r="G249" s="80"/>
      <c r="H249" s="80"/>
      <c r="I249" s="80"/>
      <c r="J249" s="80"/>
      <c r="K249" s="78"/>
      <c r="L249" s="78"/>
      <c r="M249" s="78"/>
      <c r="N249" s="78"/>
      <c r="O249" s="78"/>
      <c r="P249" s="78"/>
      <c r="Q249" s="78"/>
      <c r="R249" s="78"/>
      <c r="S249" s="78"/>
      <c r="T249" s="78"/>
      <c r="U249" s="78"/>
      <c r="V249" s="78"/>
      <c r="W249" s="78"/>
    </row>
    <row r="250" spans="1:23" x14ac:dyDescent="0.2">
      <c r="A250" s="79" t="str">
        <f>A187</f>
        <v>Dupont Coragen</v>
      </c>
      <c r="B250" s="79"/>
      <c r="C250" s="215">
        <v>2800</v>
      </c>
      <c r="D250" s="80" t="e">
        <f t="shared" ref="D250:J250" si="65">C118*$C$250*D124</f>
        <v>#VALUE!</v>
      </c>
      <c r="E250" s="80" t="e">
        <f t="shared" si="65"/>
        <v>#VALUE!</v>
      </c>
      <c r="F250" s="80" t="e">
        <f t="shared" si="65"/>
        <v>#VALUE!</v>
      </c>
      <c r="G250" s="80" t="e">
        <f t="shared" si="65"/>
        <v>#VALUE!</v>
      </c>
      <c r="H250" s="80" t="e">
        <f t="shared" si="65"/>
        <v>#VALUE!</v>
      </c>
      <c r="I250" s="80" t="e">
        <f t="shared" si="65"/>
        <v>#VALUE!</v>
      </c>
      <c r="J250" s="80" t="e">
        <f t="shared" si="65"/>
        <v>#VALUE!</v>
      </c>
      <c r="K250" s="78"/>
      <c r="L250" s="78"/>
      <c r="M250" s="78"/>
      <c r="N250" s="78"/>
      <c r="O250" s="78"/>
      <c r="P250" s="78"/>
      <c r="Q250" s="78"/>
      <c r="R250" s="78"/>
      <c r="S250" s="78"/>
      <c r="T250" s="78"/>
      <c r="U250" s="78"/>
      <c r="V250" s="78"/>
      <c r="W250" s="78"/>
    </row>
    <row r="251" spans="1:23" x14ac:dyDescent="0.2">
      <c r="A251" s="79" t="str">
        <f>A188</f>
        <v>Confidor Boyer</v>
      </c>
      <c r="B251" s="79"/>
      <c r="C251" s="215">
        <v>2000</v>
      </c>
      <c r="D251" s="80" t="e">
        <f t="shared" ref="D251:J251" si="66">C119*$C$251*D124</f>
        <v>#VALUE!</v>
      </c>
      <c r="E251" s="80" t="e">
        <f t="shared" si="66"/>
        <v>#VALUE!</v>
      </c>
      <c r="F251" s="80" t="e">
        <f t="shared" si="66"/>
        <v>#VALUE!</v>
      </c>
      <c r="G251" s="80" t="e">
        <f t="shared" si="66"/>
        <v>#VALUE!</v>
      </c>
      <c r="H251" s="80" t="e">
        <f t="shared" si="66"/>
        <v>#VALUE!</v>
      </c>
      <c r="I251" s="80" t="e">
        <f t="shared" si="66"/>
        <v>#VALUE!</v>
      </c>
      <c r="J251" s="80" t="e">
        <f t="shared" si="66"/>
        <v>#VALUE!</v>
      </c>
      <c r="K251" s="78"/>
      <c r="L251" s="78"/>
      <c r="M251" s="78"/>
      <c r="N251" s="78"/>
      <c r="O251" s="78"/>
      <c r="P251" s="78"/>
      <c r="Q251" s="78"/>
      <c r="R251" s="78"/>
      <c r="S251" s="78"/>
      <c r="T251" s="78"/>
      <c r="U251" s="78"/>
      <c r="V251" s="78"/>
      <c r="W251" s="78"/>
    </row>
    <row r="252" spans="1:23" x14ac:dyDescent="0.2">
      <c r="A252" s="79"/>
      <c r="B252" s="79"/>
      <c r="C252" s="80"/>
      <c r="D252" s="80"/>
      <c r="E252" s="80"/>
      <c r="F252" s="80"/>
      <c r="G252" s="80"/>
      <c r="H252" s="80"/>
      <c r="I252" s="80"/>
      <c r="J252" s="80"/>
      <c r="K252" s="78"/>
      <c r="L252" s="78"/>
      <c r="M252" s="78"/>
      <c r="N252" s="78"/>
      <c r="O252" s="78"/>
      <c r="P252" s="78"/>
      <c r="Q252" s="78"/>
      <c r="R252" s="78"/>
      <c r="S252" s="78"/>
      <c r="T252" s="78"/>
      <c r="U252" s="78"/>
      <c r="V252" s="78"/>
      <c r="W252" s="78"/>
    </row>
    <row r="253" spans="1:23" x14ac:dyDescent="0.2">
      <c r="A253" s="79" t="s">
        <v>281</v>
      </c>
      <c r="B253" s="79"/>
      <c r="C253" s="215">
        <v>10</v>
      </c>
      <c r="D253" s="80" t="e">
        <f t="shared" ref="D253:J253" si="67">(SUM(C63:C119)/50)*$C$253*D124</f>
        <v>#VALUE!</v>
      </c>
      <c r="E253" s="80" t="e">
        <f t="shared" si="67"/>
        <v>#VALUE!</v>
      </c>
      <c r="F253" s="80" t="e">
        <f t="shared" si="67"/>
        <v>#VALUE!</v>
      </c>
      <c r="G253" s="80" t="e">
        <f t="shared" si="67"/>
        <v>#VALUE!</v>
      </c>
      <c r="H253" s="80" t="e">
        <f t="shared" si="67"/>
        <v>#VALUE!</v>
      </c>
      <c r="I253" s="80" t="e">
        <f t="shared" si="67"/>
        <v>#VALUE!</v>
      </c>
      <c r="J253" s="80" t="e">
        <f t="shared" si="67"/>
        <v>#VALUE!</v>
      </c>
      <c r="K253" s="78"/>
      <c r="L253" s="78"/>
      <c r="M253" s="78"/>
      <c r="N253" s="78"/>
      <c r="O253" s="78"/>
      <c r="P253" s="78"/>
      <c r="Q253" s="78"/>
      <c r="R253" s="78"/>
      <c r="S253" s="78"/>
      <c r="T253" s="78"/>
      <c r="U253" s="78"/>
      <c r="V253" s="78"/>
      <c r="W253" s="78"/>
    </row>
    <row r="254" spans="1:23" x14ac:dyDescent="0.2">
      <c r="A254" s="79" t="s">
        <v>166</v>
      </c>
      <c r="B254" s="79"/>
      <c r="C254" s="215">
        <v>100</v>
      </c>
      <c r="D254" s="80" t="e">
        <f t="shared" ref="D254:J254" si="68">(SUM(C63:C119)/50)*$C$254*D124</f>
        <v>#VALUE!</v>
      </c>
      <c r="E254" s="80" t="e">
        <f t="shared" si="68"/>
        <v>#VALUE!</v>
      </c>
      <c r="F254" s="80" t="e">
        <f t="shared" si="68"/>
        <v>#VALUE!</v>
      </c>
      <c r="G254" s="80" t="e">
        <f t="shared" si="68"/>
        <v>#VALUE!</v>
      </c>
      <c r="H254" s="80" t="e">
        <f t="shared" si="68"/>
        <v>#VALUE!</v>
      </c>
      <c r="I254" s="80" t="e">
        <f t="shared" si="68"/>
        <v>#VALUE!</v>
      </c>
      <c r="J254" s="80" t="e">
        <f t="shared" si="68"/>
        <v>#VALUE!</v>
      </c>
      <c r="K254" s="78"/>
      <c r="L254" s="78"/>
      <c r="M254" s="78"/>
      <c r="N254" s="78"/>
      <c r="O254" s="78"/>
      <c r="P254" s="78"/>
      <c r="Q254" s="78"/>
      <c r="R254" s="78"/>
      <c r="S254" s="78"/>
      <c r="T254" s="78"/>
      <c r="U254" s="78"/>
      <c r="V254" s="78"/>
      <c r="W254" s="78"/>
    </row>
    <row r="255" spans="1:23" x14ac:dyDescent="0.2">
      <c r="A255" s="79"/>
      <c r="B255" s="79"/>
      <c r="C255" s="215"/>
      <c r="D255" s="170"/>
      <c r="E255" s="80"/>
      <c r="F255" s="80"/>
      <c r="G255" s="80"/>
      <c r="H255" s="80"/>
      <c r="I255" s="80"/>
      <c r="J255" s="80"/>
      <c r="K255" s="78"/>
      <c r="L255" s="78"/>
      <c r="M255" s="78"/>
      <c r="N255" s="78"/>
      <c r="O255" s="78"/>
      <c r="P255" s="78"/>
      <c r="Q255" s="78"/>
      <c r="R255" s="78"/>
      <c r="S255" s="78"/>
      <c r="T255" s="78"/>
      <c r="U255" s="78"/>
      <c r="V255" s="78"/>
      <c r="W255" s="78"/>
    </row>
    <row r="256" spans="1:23" x14ac:dyDescent="0.2">
      <c r="A256" s="79"/>
      <c r="B256" s="79"/>
      <c r="C256" s="215"/>
      <c r="D256" s="170"/>
      <c r="E256" s="80"/>
      <c r="F256" s="80"/>
      <c r="G256" s="80"/>
      <c r="H256" s="80"/>
      <c r="I256" s="80"/>
      <c r="J256" s="80"/>
      <c r="K256" s="78"/>
      <c r="L256" s="78"/>
      <c r="M256" s="78"/>
      <c r="N256" s="78"/>
      <c r="O256" s="78"/>
      <c r="P256" s="78"/>
      <c r="Q256" s="78"/>
      <c r="R256" s="78"/>
      <c r="S256" s="78"/>
      <c r="T256" s="78"/>
      <c r="U256" s="78"/>
      <c r="V256" s="78"/>
      <c r="W256" s="78"/>
    </row>
    <row r="257" spans="1:23" x14ac:dyDescent="0.2">
      <c r="A257" s="79"/>
      <c r="B257" s="79"/>
      <c r="C257" s="215"/>
      <c r="D257" s="170"/>
      <c r="E257" s="80"/>
      <c r="F257" s="80"/>
      <c r="G257" s="80"/>
      <c r="H257" s="80"/>
      <c r="I257" s="80"/>
      <c r="J257" s="80"/>
      <c r="K257" s="78"/>
      <c r="L257" s="78"/>
      <c r="M257" s="78"/>
      <c r="N257" s="78"/>
      <c r="O257" s="78"/>
      <c r="P257" s="78"/>
      <c r="Q257" s="78"/>
      <c r="R257" s="78"/>
      <c r="S257" s="78"/>
      <c r="T257" s="78"/>
      <c r="U257" s="78"/>
      <c r="V257" s="78"/>
      <c r="W257" s="78"/>
    </row>
    <row r="258" spans="1:23" x14ac:dyDescent="0.2">
      <c r="A258" s="79"/>
      <c r="B258" s="79"/>
      <c r="C258" s="215"/>
      <c r="D258" s="170"/>
      <c r="E258" s="80"/>
      <c r="F258" s="80"/>
      <c r="G258" s="80"/>
      <c r="H258" s="80"/>
      <c r="I258" s="80"/>
      <c r="J258" s="80"/>
      <c r="K258" s="78"/>
      <c r="L258" s="78"/>
      <c r="M258" s="78"/>
      <c r="N258" s="78"/>
      <c r="O258" s="78"/>
      <c r="P258" s="78"/>
      <c r="Q258" s="78"/>
      <c r="R258" s="78"/>
      <c r="S258" s="78"/>
      <c r="T258" s="78"/>
      <c r="U258" s="78"/>
      <c r="V258" s="78"/>
      <c r="W258" s="78"/>
    </row>
    <row r="259" spans="1:23" x14ac:dyDescent="0.2">
      <c r="A259" s="79" t="s">
        <v>329</v>
      </c>
      <c r="B259" s="79"/>
      <c r="C259" s="80"/>
      <c r="D259" s="170"/>
      <c r="E259" s="80">
        <f>'5.Closing Stock &amp; W Capital'!F6</f>
        <v>0</v>
      </c>
      <c r="F259" s="80">
        <f>'5.Closing Stock &amp; W Capital'!G6</f>
        <v>0</v>
      </c>
      <c r="G259" s="80">
        <f>'5.Closing Stock &amp; W Capital'!H6</f>
        <v>0</v>
      </c>
      <c r="H259" s="80">
        <f>'5.Closing Stock &amp; W Capital'!I6</f>
        <v>0</v>
      </c>
      <c r="I259" s="80">
        <f>'5.Closing Stock &amp; W Capital'!J6</f>
        <v>0</v>
      </c>
      <c r="J259" s="80">
        <f>'5.Closing Stock &amp; W Capital'!K6</f>
        <v>0</v>
      </c>
      <c r="K259" s="78"/>
      <c r="L259" s="78"/>
      <c r="M259" s="78"/>
      <c r="N259" s="78"/>
      <c r="O259" s="78"/>
      <c r="P259" s="78"/>
      <c r="Q259" s="78"/>
      <c r="R259" s="78"/>
      <c r="S259" s="78"/>
      <c r="T259" s="78"/>
      <c r="U259" s="78"/>
      <c r="V259" s="78"/>
      <c r="W259" s="78"/>
    </row>
    <row r="260" spans="1:23" x14ac:dyDescent="0.2">
      <c r="A260" s="83" t="s">
        <v>330</v>
      </c>
      <c r="B260" s="79"/>
      <c r="C260" s="79"/>
      <c r="D260" s="170">
        <f>'5.Closing Stock &amp; W Capital'!E15</f>
        <v>0</v>
      </c>
      <c r="E260" s="80">
        <f>'5.Closing Stock &amp; W Capital'!F15</f>
        <v>0</v>
      </c>
      <c r="F260" s="80">
        <f>'5.Closing Stock &amp; W Capital'!G15</f>
        <v>0</v>
      </c>
      <c r="G260" s="80">
        <f>'5.Closing Stock &amp; W Capital'!H15</f>
        <v>0</v>
      </c>
      <c r="H260" s="80">
        <f>'5.Closing Stock &amp; W Capital'!I15</f>
        <v>0</v>
      </c>
      <c r="I260" s="80">
        <f>'5.Closing Stock &amp; W Capital'!J15</f>
        <v>0</v>
      </c>
      <c r="J260" s="80">
        <f>'5.Closing Stock &amp; W Capital'!K15</f>
        <v>0</v>
      </c>
      <c r="K260" s="78"/>
      <c r="L260" s="78"/>
      <c r="M260" s="78"/>
      <c r="N260" s="78"/>
      <c r="O260" s="78"/>
      <c r="P260" s="78"/>
      <c r="Q260" s="78"/>
      <c r="R260" s="78"/>
      <c r="S260" s="78"/>
      <c r="T260" s="78"/>
      <c r="U260" s="78"/>
      <c r="V260" s="78"/>
      <c r="W260" s="78"/>
    </row>
    <row r="261" spans="1:23" x14ac:dyDescent="0.2">
      <c r="A261" s="79"/>
      <c r="B261" s="79"/>
      <c r="C261" s="79"/>
      <c r="D261" s="78"/>
      <c r="E261" s="78"/>
      <c r="F261" s="78"/>
      <c r="G261" s="78"/>
      <c r="H261" s="78"/>
      <c r="I261" s="78"/>
      <c r="J261" s="78"/>
      <c r="K261" s="78"/>
      <c r="L261" s="78"/>
      <c r="M261" s="78"/>
      <c r="N261" s="78"/>
      <c r="O261" s="78"/>
      <c r="P261" s="78"/>
      <c r="Q261" s="78"/>
      <c r="R261" s="78"/>
      <c r="S261" s="78"/>
      <c r="T261" s="78"/>
      <c r="U261" s="78"/>
      <c r="V261" s="78"/>
      <c r="W261" s="78"/>
    </row>
    <row r="262" spans="1:23" x14ac:dyDescent="0.2">
      <c r="A262" s="81" t="s">
        <v>308</v>
      </c>
      <c r="B262" s="81"/>
      <c r="C262" s="97"/>
      <c r="D262" s="97" t="e">
        <f>SUM(D197:D258)+D259-D260</f>
        <v>#VALUE!</v>
      </c>
      <c r="E262" s="97" t="e">
        <f t="shared" ref="E262:J262" si="69">SUM(E197:E258)+E259-E260</f>
        <v>#VALUE!</v>
      </c>
      <c r="F262" s="97" t="e">
        <f t="shared" si="69"/>
        <v>#VALUE!</v>
      </c>
      <c r="G262" s="97" t="e">
        <f t="shared" si="69"/>
        <v>#VALUE!</v>
      </c>
      <c r="H262" s="97" t="e">
        <f t="shared" si="69"/>
        <v>#VALUE!</v>
      </c>
      <c r="I262" s="97" t="e">
        <f t="shared" si="69"/>
        <v>#VALUE!</v>
      </c>
      <c r="J262" s="97" t="e">
        <f t="shared" si="69"/>
        <v>#VALUE!</v>
      </c>
      <c r="K262" s="78"/>
      <c r="L262" s="78"/>
      <c r="M262" s="78"/>
      <c r="N262" s="78"/>
      <c r="O262" s="78"/>
      <c r="P262" s="78"/>
      <c r="Q262" s="78"/>
      <c r="R262" s="78"/>
      <c r="S262" s="78"/>
      <c r="T262" s="78"/>
      <c r="U262" s="78"/>
      <c r="V262" s="78"/>
      <c r="W262" s="78"/>
    </row>
    <row r="263" spans="1:23" x14ac:dyDescent="0.2">
      <c r="A263" s="79"/>
      <c r="B263" s="79"/>
      <c r="C263" s="80"/>
      <c r="D263" s="80"/>
      <c r="E263" s="80"/>
      <c r="F263" s="80"/>
      <c r="G263" s="80"/>
      <c r="H263" s="80"/>
      <c r="I263" s="80"/>
      <c r="J263" s="80"/>
      <c r="K263" s="78"/>
      <c r="L263" s="78"/>
      <c r="M263" s="78"/>
      <c r="N263" s="78"/>
      <c r="O263" s="78"/>
      <c r="P263" s="78"/>
      <c r="Q263" s="78"/>
      <c r="R263" s="78"/>
      <c r="S263" s="78"/>
      <c r="T263" s="78"/>
      <c r="U263" s="78"/>
      <c r="V263" s="78"/>
      <c r="W263" s="78"/>
    </row>
    <row r="264" spans="1:23" x14ac:dyDescent="0.2">
      <c r="A264" s="81" t="s">
        <v>299</v>
      </c>
      <c r="B264" s="81"/>
      <c r="C264" s="80"/>
      <c r="D264" s="80"/>
      <c r="E264" s="80"/>
      <c r="F264" s="80"/>
      <c r="G264" s="80"/>
      <c r="H264" s="80"/>
      <c r="I264" s="80"/>
      <c r="J264" s="80"/>
      <c r="K264" s="78"/>
      <c r="L264" s="78"/>
      <c r="M264" s="78"/>
      <c r="N264" s="78"/>
      <c r="O264" s="78"/>
      <c r="P264" s="78"/>
      <c r="Q264" s="78"/>
      <c r="R264" s="78"/>
      <c r="S264" s="78"/>
      <c r="T264" s="78"/>
      <c r="U264" s="78"/>
      <c r="V264" s="78"/>
      <c r="W264" s="78"/>
    </row>
    <row r="265" spans="1:23" x14ac:dyDescent="0.2">
      <c r="A265" s="79" t="s">
        <v>313</v>
      </c>
      <c r="B265" s="79">
        <v>12</v>
      </c>
      <c r="C265" s="215"/>
      <c r="D265" s="80">
        <f t="shared" ref="D265:J265" si="70">$B$265*$C$265*D124</f>
        <v>0</v>
      </c>
      <c r="E265" s="80">
        <f t="shared" si="70"/>
        <v>0</v>
      </c>
      <c r="F265" s="80">
        <f t="shared" si="70"/>
        <v>0</v>
      </c>
      <c r="G265" s="80">
        <f t="shared" si="70"/>
        <v>0</v>
      </c>
      <c r="H265" s="80">
        <f t="shared" si="70"/>
        <v>0</v>
      </c>
      <c r="I265" s="80">
        <f t="shared" si="70"/>
        <v>0</v>
      </c>
      <c r="J265" s="80">
        <f t="shared" si="70"/>
        <v>0</v>
      </c>
      <c r="K265" s="78"/>
      <c r="L265" s="78"/>
      <c r="M265" s="78"/>
      <c r="N265" s="78"/>
      <c r="O265" s="78"/>
      <c r="P265" s="78"/>
      <c r="Q265" s="78"/>
      <c r="R265" s="78"/>
      <c r="S265" s="78"/>
      <c r="T265" s="78"/>
      <c r="U265" s="78"/>
      <c r="V265" s="78"/>
      <c r="W265" s="78"/>
    </row>
    <row r="266" spans="1:23" x14ac:dyDescent="0.2">
      <c r="A266" s="79" t="s">
        <v>314</v>
      </c>
      <c r="B266" s="192">
        <v>1</v>
      </c>
      <c r="C266" s="215"/>
      <c r="D266" s="80">
        <f t="shared" ref="D266:J266" si="71">$B$266*$C$266*12*D124</f>
        <v>0</v>
      </c>
      <c r="E266" s="80">
        <f t="shared" si="71"/>
        <v>0</v>
      </c>
      <c r="F266" s="80">
        <f t="shared" si="71"/>
        <v>0</v>
      </c>
      <c r="G266" s="80">
        <f t="shared" si="71"/>
        <v>0</v>
      </c>
      <c r="H266" s="80">
        <f t="shared" si="71"/>
        <v>0</v>
      </c>
      <c r="I266" s="80">
        <f t="shared" si="71"/>
        <v>0</v>
      </c>
      <c r="J266" s="80">
        <f t="shared" si="71"/>
        <v>0</v>
      </c>
      <c r="K266" s="78"/>
      <c r="L266" s="78"/>
      <c r="M266" s="78"/>
      <c r="N266" s="78"/>
      <c r="O266" s="78"/>
      <c r="P266" s="78"/>
      <c r="Q266" s="78"/>
      <c r="R266" s="78"/>
      <c r="S266" s="78"/>
      <c r="T266" s="78"/>
      <c r="U266" s="78"/>
      <c r="V266" s="78"/>
      <c r="W266" s="78"/>
    </row>
    <row r="267" spans="1:23" x14ac:dyDescent="0.2">
      <c r="A267" s="79" t="s">
        <v>184</v>
      </c>
      <c r="B267" s="192">
        <v>1</v>
      </c>
      <c r="C267" s="215"/>
      <c r="D267" s="80">
        <f t="shared" ref="D267:J267" si="72">$B$267*$C$267*12*D124</f>
        <v>0</v>
      </c>
      <c r="E267" s="80">
        <f t="shared" si="72"/>
        <v>0</v>
      </c>
      <c r="F267" s="80">
        <f t="shared" si="72"/>
        <v>0</v>
      </c>
      <c r="G267" s="80">
        <f t="shared" si="72"/>
        <v>0</v>
      </c>
      <c r="H267" s="80">
        <f t="shared" si="72"/>
        <v>0</v>
      </c>
      <c r="I267" s="80">
        <f t="shared" si="72"/>
        <v>0</v>
      </c>
      <c r="J267" s="80">
        <f t="shared" si="72"/>
        <v>0</v>
      </c>
      <c r="K267" s="78"/>
      <c r="L267" s="78"/>
      <c r="M267" s="78"/>
      <c r="N267" s="78"/>
      <c r="O267" s="78"/>
      <c r="P267" s="78"/>
      <c r="Q267" s="78"/>
      <c r="R267" s="78"/>
      <c r="S267" s="78"/>
      <c r="T267" s="78"/>
      <c r="U267" s="78"/>
      <c r="V267" s="78"/>
      <c r="W267" s="78"/>
    </row>
    <row r="268" spans="1:23" x14ac:dyDescent="0.2">
      <c r="A268" s="79" t="s">
        <v>315</v>
      </c>
      <c r="B268" s="79">
        <v>12</v>
      </c>
      <c r="C268" s="215"/>
      <c r="D268" s="80">
        <f t="shared" ref="D268:J268" si="73">$B$268*$C$268*D124</f>
        <v>0</v>
      </c>
      <c r="E268" s="80">
        <f t="shared" si="73"/>
        <v>0</v>
      </c>
      <c r="F268" s="80">
        <f t="shared" si="73"/>
        <v>0</v>
      </c>
      <c r="G268" s="80">
        <f t="shared" si="73"/>
        <v>0</v>
      </c>
      <c r="H268" s="80">
        <f t="shared" si="73"/>
        <v>0</v>
      </c>
      <c r="I268" s="80">
        <f t="shared" si="73"/>
        <v>0</v>
      </c>
      <c r="J268" s="80">
        <f t="shared" si="73"/>
        <v>0</v>
      </c>
      <c r="K268" s="78"/>
      <c r="L268" s="78"/>
      <c r="M268" s="78"/>
      <c r="N268" s="78"/>
      <c r="O268" s="78"/>
      <c r="P268" s="78"/>
      <c r="Q268" s="78"/>
      <c r="R268" s="78"/>
      <c r="S268" s="78"/>
      <c r="T268" s="78"/>
      <c r="U268" s="78"/>
      <c r="V268" s="78"/>
      <c r="W268" s="78"/>
    </row>
    <row r="269" spans="1:23" x14ac:dyDescent="0.2">
      <c r="A269" s="79"/>
      <c r="B269" s="79"/>
      <c r="C269" s="215"/>
      <c r="D269" s="80"/>
      <c r="E269" s="80"/>
      <c r="F269" s="80"/>
      <c r="G269" s="80"/>
      <c r="H269" s="80"/>
      <c r="I269" s="80"/>
      <c r="J269" s="80"/>
      <c r="K269" s="78"/>
      <c r="L269" s="78"/>
      <c r="M269" s="78"/>
      <c r="N269" s="78"/>
      <c r="O269" s="78"/>
      <c r="P269" s="78"/>
      <c r="Q269" s="78"/>
      <c r="R269" s="78"/>
      <c r="S269" s="78"/>
      <c r="T269" s="78"/>
      <c r="U269" s="78"/>
      <c r="V269" s="78"/>
      <c r="W269" s="78"/>
    </row>
    <row r="270" spans="1:23" x14ac:dyDescent="0.2">
      <c r="A270" s="79"/>
      <c r="B270" s="79"/>
      <c r="C270" s="215"/>
      <c r="D270" s="80"/>
      <c r="E270" s="80"/>
      <c r="F270" s="80"/>
      <c r="G270" s="80"/>
      <c r="H270" s="80"/>
      <c r="I270" s="80"/>
      <c r="J270" s="80"/>
      <c r="K270" s="78"/>
      <c r="L270" s="78"/>
      <c r="M270" s="78"/>
      <c r="N270" s="78"/>
      <c r="O270" s="78"/>
      <c r="P270" s="78"/>
      <c r="Q270" s="78"/>
      <c r="R270" s="78"/>
      <c r="S270" s="78"/>
      <c r="T270" s="78"/>
      <c r="U270" s="78"/>
      <c r="V270" s="78"/>
      <c r="W270" s="78"/>
    </row>
    <row r="271" spans="1:23" x14ac:dyDescent="0.2">
      <c r="A271" s="79"/>
      <c r="B271" s="79"/>
      <c r="C271" s="215"/>
      <c r="D271" s="80"/>
      <c r="E271" s="80"/>
      <c r="F271" s="80"/>
      <c r="G271" s="80"/>
      <c r="H271" s="80"/>
      <c r="I271" s="80"/>
      <c r="J271" s="80"/>
      <c r="K271" s="78"/>
      <c r="L271" s="78"/>
      <c r="M271" s="78"/>
      <c r="N271" s="78"/>
      <c r="O271" s="78"/>
      <c r="P271" s="78"/>
      <c r="Q271" s="78"/>
      <c r="R271" s="78"/>
      <c r="S271" s="78"/>
      <c r="T271" s="78"/>
      <c r="U271" s="78"/>
      <c r="V271" s="78"/>
      <c r="W271" s="78"/>
    </row>
    <row r="272" spans="1:23" x14ac:dyDescent="0.2">
      <c r="A272" s="79"/>
      <c r="B272" s="79"/>
      <c r="C272" s="215"/>
      <c r="D272" s="80"/>
      <c r="E272" s="80"/>
      <c r="F272" s="80"/>
      <c r="G272" s="80"/>
      <c r="H272" s="80"/>
      <c r="I272" s="80"/>
      <c r="J272" s="80"/>
      <c r="K272" s="78"/>
      <c r="L272" s="78"/>
      <c r="M272" s="78"/>
      <c r="N272" s="78"/>
      <c r="O272" s="78"/>
      <c r="P272" s="78"/>
      <c r="Q272" s="78"/>
      <c r="R272" s="78"/>
      <c r="S272" s="78"/>
      <c r="T272" s="78"/>
      <c r="U272" s="78"/>
      <c r="V272" s="78"/>
      <c r="W272" s="78"/>
    </row>
    <row r="273" spans="1:23" x14ac:dyDescent="0.2">
      <c r="A273" s="81" t="s">
        <v>312</v>
      </c>
      <c r="B273" s="81"/>
      <c r="C273" s="97"/>
      <c r="D273" s="97">
        <f>SUM(D265:D272)</f>
        <v>0</v>
      </c>
      <c r="E273" s="97">
        <f t="shared" ref="E273:J273" si="74">SUM(E265:E272)</f>
        <v>0</v>
      </c>
      <c r="F273" s="97">
        <f t="shared" si="74"/>
        <v>0</v>
      </c>
      <c r="G273" s="97">
        <f t="shared" si="74"/>
        <v>0</v>
      </c>
      <c r="H273" s="97">
        <f t="shared" si="74"/>
        <v>0</v>
      </c>
      <c r="I273" s="97">
        <f t="shared" si="74"/>
        <v>0</v>
      </c>
      <c r="J273" s="97">
        <f t="shared" si="74"/>
        <v>0</v>
      </c>
      <c r="K273" s="78"/>
      <c r="L273" s="78"/>
      <c r="M273" s="78"/>
      <c r="N273" s="78"/>
      <c r="O273" s="78"/>
      <c r="P273" s="78"/>
      <c r="Q273" s="78"/>
      <c r="R273" s="78"/>
      <c r="S273" s="78"/>
      <c r="T273" s="78"/>
      <c r="U273" s="78"/>
      <c r="V273" s="78"/>
      <c r="W273" s="78"/>
    </row>
    <row r="274" spans="1:23" x14ac:dyDescent="0.2">
      <c r="A274" s="158" t="s">
        <v>131</v>
      </c>
      <c r="B274" s="158"/>
      <c r="C274" s="171"/>
      <c r="D274" s="97" t="e">
        <f t="shared" ref="D274:J274" si="75">D262+D273</f>
        <v>#VALUE!</v>
      </c>
      <c r="E274" s="97" t="e">
        <f t="shared" si="75"/>
        <v>#VALUE!</v>
      </c>
      <c r="F274" s="97" t="e">
        <f t="shared" si="75"/>
        <v>#VALUE!</v>
      </c>
      <c r="G274" s="97" t="e">
        <f t="shared" si="75"/>
        <v>#VALUE!</v>
      </c>
      <c r="H274" s="97" t="e">
        <f t="shared" si="75"/>
        <v>#VALUE!</v>
      </c>
      <c r="I274" s="97" t="e">
        <f t="shared" si="75"/>
        <v>#VALUE!</v>
      </c>
      <c r="J274" s="97" t="e">
        <f t="shared" si="75"/>
        <v>#VALUE!</v>
      </c>
      <c r="K274" s="78"/>
      <c r="L274" s="78"/>
      <c r="M274" s="78"/>
      <c r="N274" s="78"/>
      <c r="O274" s="78"/>
      <c r="P274" s="78"/>
      <c r="Q274" s="78"/>
      <c r="R274" s="78"/>
      <c r="S274" s="78"/>
      <c r="T274" s="78"/>
      <c r="U274" s="78"/>
      <c r="V274" s="78"/>
      <c r="W274" s="78"/>
    </row>
    <row r="275" spans="1:23" x14ac:dyDescent="0.2">
      <c r="A275" s="79"/>
      <c r="B275" s="79"/>
      <c r="C275" s="80"/>
      <c r="D275" s="80"/>
      <c r="E275" s="80"/>
      <c r="F275" s="80"/>
      <c r="G275" s="80"/>
      <c r="H275" s="80"/>
      <c r="I275" s="80"/>
      <c r="J275" s="80"/>
      <c r="K275" s="78"/>
      <c r="L275" s="78"/>
      <c r="M275" s="78"/>
      <c r="N275" s="78"/>
      <c r="O275" s="78"/>
      <c r="P275" s="78"/>
      <c r="Q275" s="78"/>
      <c r="R275" s="78"/>
      <c r="S275" s="78"/>
      <c r="T275" s="78"/>
      <c r="U275" s="78"/>
      <c r="V275" s="78"/>
      <c r="W275" s="78"/>
    </row>
    <row r="276" spans="1:23" x14ac:dyDescent="0.2">
      <c r="A276" s="158" t="s">
        <v>7</v>
      </c>
      <c r="B276" s="158"/>
      <c r="C276" s="171"/>
      <c r="D276" s="97" t="e">
        <f t="shared" ref="D276:J276" si="76">D191-D274</f>
        <v>#VALUE!</v>
      </c>
      <c r="E276" s="97" t="e">
        <f t="shared" si="76"/>
        <v>#VALUE!</v>
      </c>
      <c r="F276" s="97" t="e">
        <f t="shared" si="76"/>
        <v>#VALUE!</v>
      </c>
      <c r="G276" s="97" t="e">
        <f t="shared" si="76"/>
        <v>#VALUE!</v>
      </c>
      <c r="H276" s="97" t="e">
        <f t="shared" si="76"/>
        <v>#VALUE!</v>
      </c>
      <c r="I276" s="97" t="e">
        <f t="shared" si="76"/>
        <v>#VALUE!</v>
      </c>
      <c r="J276" s="97" t="e">
        <f t="shared" si="76"/>
        <v>#VALUE!</v>
      </c>
      <c r="K276" s="78"/>
      <c r="L276" s="78"/>
      <c r="M276" s="78"/>
      <c r="N276" s="78"/>
      <c r="O276" s="78"/>
      <c r="P276" s="78"/>
      <c r="Q276" s="78"/>
      <c r="R276" s="78"/>
      <c r="S276" s="78"/>
      <c r="T276" s="78"/>
      <c r="U276" s="78"/>
      <c r="V276" s="78"/>
      <c r="W276" s="78"/>
    </row>
    <row r="277" spans="1:23" x14ac:dyDescent="0.2">
      <c r="A277" s="98"/>
      <c r="B277" s="98"/>
      <c r="C277" s="98"/>
      <c r="D277" s="78"/>
      <c r="E277" s="78"/>
      <c r="F277" s="78"/>
      <c r="G277" s="78"/>
      <c r="H277" s="78"/>
      <c r="I277" s="78"/>
      <c r="J277" s="78"/>
      <c r="K277" s="78"/>
      <c r="L277" s="78"/>
      <c r="M277" s="78"/>
      <c r="N277" s="78"/>
      <c r="O277" s="78"/>
      <c r="P277" s="78"/>
      <c r="Q277" s="78"/>
      <c r="R277" s="78"/>
      <c r="S277" s="78"/>
      <c r="T277" s="78"/>
      <c r="U277" s="78"/>
      <c r="V277" s="78"/>
      <c r="W277" s="78"/>
    </row>
    <row r="278" spans="1:23" x14ac:dyDescent="0.2">
      <c r="A278" s="78"/>
      <c r="B278" s="78"/>
      <c r="C278" s="78"/>
      <c r="D278" s="78"/>
      <c r="E278" s="78"/>
      <c r="F278" s="78"/>
      <c r="G278" s="78"/>
      <c r="H278" s="78"/>
      <c r="I278" s="78"/>
      <c r="J278" s="78"/>
      <c r="K278" s="78"/>
      <c r="L278" s="78"/>
      <c r="M278" s="78"/>
      <c r="N278" s="78"/>
      <c r="O278" s="78"/>
      <c r="P278" s="78"/>
      <c r="Q278" s="78"/>
      <c r="R278" s="78"/>
      <c r="S278" s="78"/>
      <c r="T278" s="78"/>
      <c r="U278" s="78"/>
      <c r="V278" s="78"/>
      <c r="W278" s="78"/>
    </row>
    <row r="279" spans="1:23" x14ac:dyDescent="0.2">
      <c r="A279" s="705" t="s">
        <v>403</v>
      </c>
      <c r="B279" s="705"/>
      <c r="C279" s="705"/>
      <c r="D279" s="705"/>
      <c r="E279" s="705"/>
      <c r="F279" s="705"/>
      <c r="G279" s="705"/>
      <c r="H279" s="705"/>
      <c r="I279" s="705"/>
      <c r="J279" s="705"/>
    </row>
    <row r="281" spans="1:23" x14ac:dyDescent="0.2">
      <c r="A281" t="s">
        <v>486</v>
      </c>
    </row>
    <row r="282" spans="1:23" x14ac:dyDescent="0.2">
      <c r="A282">
        <v>1</v>
      </c>
      <c r="B282" t="s">
        <v>496</v>
      </c>
    </row>
    <row r="283" spans="1:23" x14ac:dyDescent="0.2">
      <c r="A283">
        <v>2</v>
      </c>
      <c r="B283" t="s">
        <v>497</v>
      </c>
    </row>
    <row r="284" spans="1:23" x14ac:dyDescent="0.2">
      <c r="A284">
        <v>3</v>
      </c>
      <c r="B284" s="78" t="s">
        <v>542</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3:S694"/>
  <sheetViews>
    <sheetView tabSelected="1" view="pageBreakPreview" topLeftCell="A817" zoomScale="70" zoomScaleSheetLayoutView="70" workbookViewId="0" xr3:uid="{F1CDC194-CB96-5A2D-8E84-222F42300CFA}">
      <selection activeCell="A78" sqref="A78:J121"/>
    </sheetView>
  </sheetViews>
  <sheetFormatPr defaultRowHeight="15" x14ac:dyDescent="0.2"/>
  <cols>
    <col min="1" max="1" width="31.34375" customWidth="1"/>
    <col min="2" max="3" width="11.56640625" customWidth="1"/>
    <col min="4" max="4" width="13.71875" style="365" customWidth="1"/>
    <col min="5" max="9" width="11.703125" style="365" customWidth="1"/>
    <col min="10" max="10" width="13.5859375" style="365" bestFit="1" customWidth="1"/>
    <col min="11" max="11" width="14.125" customWidth="1"/>
    <col min="12" max="12" width="14.66015625" customWidth="1"/>
    <col min="19" max="19" width="11.56640625" bestFit="1" customWidth="1"/>
  </cols>
  <sheetData>
    <row r="3" spans="1:9" ht="18" x14ac:dyDescent="0.2">
      <c r="A3" s="704" t="s">
        <v>956</v>
      </c>
      <c r="B3" s="704"/>
      <c r="C3" s="704"/>
      <c r="D3" s="704"/>
      <c r="E3" s="704"/>
      <c r="F3" s="704"/>
      <c r="G3" s="704"/>
      <c r="H3" s="704"/>
    </row>
    <row r="4" spans="1:9" ht="18" x14ac:dyDescent="0.2">
      <c r="A4" s="704" t="s">
        <v>530</v>
      </c>
      <c r="B4" s="704"/>
      <c r="C4" s="704"/>
      <c r="D4" s="704"/>
      <c r="E4" s="704"/>
      <c r="F4" s="704"/>
      <c r="G4" s="704"/>
      <c r="H4" s="704"/>
    </row>
    <row r="5" spans="1:9" ht="18" x14ac:dyDescent="0.2">
      <c r="A5" s="558"/>
      <c r="B5" s="558"/>
      <c r="C5" s="558"/>
      <c r="D5" s="558"/>
      <c r="E5" s="558"/>
      <c r="F5" s="558"/>
      <c r="G5" s="558"/>
      <c r="H5" s="558"/>
    </row>
    <row r="6" spans="1:9" ht="18" x14ac:dyDescent="0.2">
      <c r="A6" s="558"/>
      <c r="B6" s="558"/>
      <c r="C6" s="558"/>
      <c r="D6" s="558"/>
      <c r="E6" s="558"/>
      <c r="F6" s="558"/>
      <c r="G6" s="558"/>
      <c r="H6" s="558"/>
    </row>
    <row r="7" spans="1:9" x14ac:dyDescent="0.2">
      <c r="A7" s="78" t="s">
        <v>156</v>
      </c>
      <c r="B7" s="208">
        <v>0.5</v>
      </c>
      <c r="C7" s="78" t="s">
        <v>288</v>
      </c>
      <c r="D7" s="93"/>
      <c r="E7" s="93"/>
      <c r="F7" s="93"/>
      <c r="G7" s="93"/>
      <c r="H7" s="93"/>
    </row>
    <row r="8" spans="1:9" x14ac:dyDescent="0.2">
      <c r="A8" s="78" t="s">
        <v>157</v>
      </c>
      <c r="B8" s="239">
        <v>10</v>
      </c>
      <c r="C8" s="78"/>
      <c r="D8" s="93"/>
      <c r="E8" s="93"/>
      <c r="F8" s="93"/>
      <c r="G8" s="93"/>
      <c r="H8" s="93"/>
    </row>
    <row r="9" spans="1:9" x14ac:dyDescent="0.2">
      <c r="A9" s="78"/>
      <c r="B9" s="239"/>
      <c r="C9" s="78"/>
      <c r="D9" s="93"/>
      <c r="E9" s="93"/>
      <c r="F9" s="93"/>
      <c r="G9" s="93"/>
      <c r="H9" s="93"/>
    </row>
    <row r="10" spans="1:9" x14ac:dyDescent="0.2">
      <c r="A10" s="78"/>
      <c r="B10" s="239"/>
      <c r="C10" s="78"/>
      <c r="D10" s="93"/>
      <c r="E10" s="93"/>
      <c r="F10" s="93"/>
      <c r="G10" s="93"/>
      <c r="H10" s="93"/>
    </row>
    <row r="11" spans="1:9" x14ac:dyDescent="0.2">
      <c r="A11" s="78"/>
      <c r="B11" s="78"/>
      <c r="C11" s="78"/>
      <c r="D11" s="93"/>
      <c r="E11" s="93"/>
      <c r="F11" s="93"/>
      <c r="G11" s="93"/>
      <c r="H11" s="93"/>
    </row>
    <row r="12" spans="1:9" x14ac:dyDescent="0.2">
      <c r="A12" s="122" t="s">
        <v>0</v>
      </c>
      <c r="B12" s="122" t="s">
        <v>2</v>
      </c>
      <c r="C12" s="122" t="s">
        <v>3</v>
      </c>
      <c r="D12" s="122" t="s">
        <v>4</v>
      </c>
      <c r="E12" s="122" t="s">
        <v>5</v>
      </c>
      <c r="F12" s="122" t="s">
        <v>6</v>
      </c>
      <c r="G12" s="122" t="s">
        <v>163</v>
      </c>
      <c r="H12" s="122" t="s">
        <v>162</v>
      </c>
      <c r="I12" s="417"/>
    </row>
    <row r="13" spans="1:9" x14ac:dyDescent="0.2">
      <c r="A13" s="314" t="s">
        <v>955</v>
      </c>
      <c r="B13" s="326"/>
      <c r="C13" s="326"/>
      <c r="D13" s="418"/>
      <c r="E13" s="418"/>
      <c r="F13" s="418"/>
      <c r="G13" s="418"/>
      <c r="H13" s="418"/>
      <c r="I13" s="417"/>
    </row>
    <row r="14" spans="1:9" x14ac:dyDescent="0.2">
      <c r="A14" s="787" t="s">
        <v>871</v>
      </c>
      <c r="B14" s="788"/>
      <c r="C14" s="788"/>
      <c r="D14" s="788"/>
      <c r="E14" s="788"/>
      <c r="F14" s="788"/>
      <c r="G14" s="788"/>
      <c r="H14" s="788"/>
      <c r="I14" s="417"/>
    </row>
    <row r="15" spans="1:9" x14ac:dyDescent="0.2">
      <c r="A15" s="315" t="s">
        <v>644</v>
      </c>
      <c r="B15" s="327">
        <f t="shared" ref="B15:H15" si="0">+$B$7*$B$8*300</f>
        <v>1500</v>
      </c>
      <c r="C15" s="327">
        <f t="shared" si="0"/>
        <v>1500</v>
      </c>
      <c r="D15" s="327">
        <f t="shared" si="0"/>
        <v>1500</v>
      </c>
      <c r="E15" s="327">
        <f t="shared" si="0"/>
        <v>1500</v>
      </c>
      <c r="F15" s="327">
        <f t="shared" si="0"/>
        <v>1500</v>
      </c>
      <c r="G15" s="327">
        <f t="shared" si="0"/>
        <v>1500</v>
      </c>
      <c r="H15" s="327">
        <f t="shared" si="0"/>
        <v>1500</v>
      </c>
      <c r="I15" s="417"/>
    </row>
    <row r="16" spans="1:9" x14ac:dyDescent="0.2">
      <c r="A16" s="315" t="s">
        <v>645</v>
      </c>
      <c r="B16" s="327">
        <f>B15*0.6</f>
        <v>900</v>
      </c>
      <c r="C16" s="327">
        <f t="shared" ref="C16:H17" si="1">+B16</f>
        <v>900</v>
      </c>
      <c r="D16" s="419">
        <f t="shared" si="1"/>
        <v>900</v>
      </c>
      <c r="E16" s="419">
        <f t="shared" si="1"/>
        <v>900</v>
      </c>
      <c r="F16" s="419">
        <f t="shared" si="1"/>
        <v>900</v>
      </c>
      <c r="G16" s="419">
        <f t="shared" si="1"/>
        <v>900</v>
      </c>
      <c r="H16" s="419">
        <f t="shared" si="1"/>
        <v>900</v>
      </c>
      <c r="I16" s="417"/>
    </row>
    <row r="17" spans="1:16" x14ac:dyDescent="0.2">
      <c r="A17" s="315" t="s">
        <v>646</v>
      </c>
      <c r="B17" s="327">
        <f>+B15-B16</f>
        <v>600</v>
      </c>
      <c r="C17" s="327">
        <f t="shared" si="1"/>
        <v>600</v>
      </c>
      <c r="D17" s="419">
        <f t="shared" si="1"/>
        <v>600</v>
      </c>
      <c r="E17" s="419">
        <f t="shared" si="1"/>
        <v>600</v>
      </c>
      <c r="F17" s="419">
        <f t="shared" si="1"/>
        <v>600</v>
      </c>
      <c r="G17" s="419">
        <f t="shared" si="1"/>
        <v>600</v>
      </c>
      <c r="H17" s="419">
        <f t="shared" si="1"/>
        <v>600</v>
      </c>
      <c r="I17" s="417"/>
    </row>
    <row r="18" spans="1:16" x14ac:dyDescent="0.2">
      <c r="A18" s="315" t="s">
        <v>631</v>
      </c>
      <c r="B18" s="574">
        <f>+'Input Sheet'!C24</f>
        <v>0.45</v>
      </c>
      <c r="C18" s="574">
        <f>+'Input Sheet'!D24</f>
        <v>0.5</v>
      </c>
      <c r="D18" s="574">
        <f>+'Input Sheet'!E24</f>
        <v>0.55000000000000004</v>
      </c>
      <c r="E18" s="574">
        <f>+'Input Sheet'!F24</f>
        <v>0.60000000000000009</v>
      </c>
      <c r="F18" s="574">
        <f>+'Input Sheet'!G24</f>
        <v>0.65000000000000013</v>
      </c>
      <c r="G18" s="574">
        <f>+'Input Sheet'!H24</f>
        <v>0.70000000000000018</v>
      </c>
      <c r="H18" s="574">
        <f>+'Input Sheet'!I24</f>
        <v>0.75000000000000022</v>
      </c>
      <c r="I18" s="417"/>
    </row>
    <row r="19" spans="1:16" x14ac:dyDescent="0.2">
      <c r="A19" s="315" t="s">
        <v>632</v>
      </c>
      <c r="B19" s="574">
        <f>+'Input Sheet'!C25</f>
        <v>0.45</v>
      </c>
      <c r="C19" s="574">
        <f>+'Input Sheet'!D25</f>
        <v>0.5</v>
      </c>
      <c r="D19" s="574">
        <f>+'Input Sheet'!E25</f>
        <v>0.55000000000000004</v>
      </c>
      <c r="E19" s="574">
        <f>+'Input Sheet'!F25</f>
        <v>0.60000000000000009</v>
      </c>
      <c r="F19" s="574">
        <f>+'Input Sheet'!G25</f>
        <v>0.65000000000000013</v>
      </c>
      <c r="G19" s="574">
        <f>+'Input Sheet'!H25</f>
        <v>0.70000000000000018</v>
      </c>
      <c r="H19" s="574">
        <f>+'Input Sheet'!I25</f>
        <v>0.75000000000000022</v>
      </c>
      <c r="I19" s="417"/>
    </row>
    <row r="20" spans="1:16" x14ac:dyDescent="0.2">
      <c r="A20" s="316"/>
      <c r="B20" s="316"/>
      <c r="C20" s="316"/>
      <c r="D20" s="344"/>
      <c r="E20" s="344"/>
      <c r="F20" s="344"/>
      <c r="G20" s="344"/>
      <c r="H20" s="344"/>
      <c r="I20" s="417"/>
    </row>
    <row r="21" spans="1:16" x14ac:dyDescent="0.2">
      <c r="A21" s="317" t="s">
        <v>633</v>
      </c>
      <c r="B21" s="316"/>
      <c r="C21" s="316"/>
      <c r="D21" s="344"/>
      <c r="E21" s="344"/>
      <c r="F21" s="344"/>
      <c r="G21" s="344"/>
      <c r="H21" s="344"/>
      <c r="I21" s="417"/>
    </row>
    <row r="22" spans="1:16" x14ac:dyDescent="0.2">
      <c r="A22" s="316" t="s">
        <v>876</v>
      </c>
      <c r="B22" s="316">
        <f t="shared" ref="B22:H22" si="2">B16*B18</f>
        <v>405</v>
      </c>
      <c r="C22" s="316">
        <f t="shared" si="2"/>
        <v>450</v>
      </c>
      <c r="D22" s="344">
        <f t="shared" si="2"/>
        <v>495.00000000000006</v>
      </c>
      <c r="E22" s="344">
        <f t="shared" si="2"/>
        <v>540.00000000000011</v>
      </c>
      <c r="F22" s="344">
        <f t="shared" si="2"/>
        <v>585.00000000000011</v>
      </c>
      <c r="G22" s="344">
        <f t="shared" si="2"/>
        <v>630.00000000000011</v>
      </c>
      <c r="H22" s="344">
        <f t="shared" si="2"/>
        <v>675.00000000000023</v>
      </c>
      <c r="I22" s="417"/>
    </row>
    <row r="23" spans="1:16" x14ac:dyDescent="0.2">
      <c r="A23" s="328" t="s">
        <v>647</v>
      </c>
      <c r="B23" s="575">
        <f>+'Input Sheet'!C82</f>
        <v>2300</v>
      </c>
      <c r="C23" s="575">
        <f>+'Input Sheet'!D82</f>
        <v>2420</v>
      </c>
      <c r="D23" s="575">
        <f>+'Input Sheet'!E82</f>
        <v>2540</v>
      </c>
      <c r="E23" s="575">
        <f>+'Input Sheet'!F82</f>
        <v>2670</v>
      </c>
      <c r="F23" s="575">
        <f>+'Input Sheet'!G82</f>
        <v>2800</v>
      </c>
      <c r="G23" s="575">
        <f>+'Input Sheet'!H82</f>
        <v>2940</v>
      </c>
      <c r="H23" s="575">
        <f>+'Input Sheet'!I82</f>
        <v>3090</v>
      </c>
      <c r="I23" s="417"/>
    </row>
    <row r="24" spans="1:16" x14ac:dyDescent="0.2">
      <c r="A24" s="330" t="s">
        <v>634</v>
      </c>
      <c r="B24" s="331">
        <f t="shared" ref="B24:H24" si="3">B22*B23/100000</f>
        <v>9.3149999999999995</v>
      </c>
      <c r="C24" s="331">
        <f t="shared" si="3"/>
        <v>10.89</v>
      </c>
      <c r="D24" s="421">
        <f t="shared" si="3"/>
        <v>12.573000000000002</v>
      </c>
      <c r="E24" s="421">
        <f t="shared" si="3"/>
        <v>14.418000000000003</v>
      </c>
      <c r="F24" s="421">
        <f t="shared" si="3"/>
        <v>16.380000000000003</v>
      </c>
      <c r="G24" s="421">
        <f t="shared" si="3"/>
        <v>18.522000000000002</v>
      </c>
      <c r="H24" s="421">
        <f t="shared" si="3"/>
        <v>20.857500000000005</v>
      </c>
      <c r="I24" s="417"/>
    </row>
    <row r="25" spans="1:16" x14ac:dyDescent="0.2">
      <c r="A25" s="330"/>
      <c r="B25" s="331"/>
      <c r="C25" s="331"/>
      <c r="D25" s="421"/>
      <c r="E25" s="421"/>
      <c r="F25" s="421"/>
      <c r="G25" s="421"/>
      <c r="H25" s="421"/>
      <c r="I25" s="417"/>
    </row>
    <row r="26" spans="1:16" x14ac:dyDescent="0.2">
      <c r="A26" s="330" t="s">
        <v>942</v>
      </c>
      <c r="B26" s="331"/>
      <c r="C26" s="331"/>
      <c r="D26" s="421"/>
      <c r="E26" s="421"/>
      <c r="F26" s="421"/>
      <c r="G26" s="421"/>
      <c r="H26" s="421"/>
      <c r="I26" s="417"/>
    </row>
    <row r="27" spans="1:16" x14ac:dyDescent="0.2">
      <c r="A27" s="350" t="s">
        <v>943</v>
      </c>
      <c r="B27" s="331">
        <f>+B22*$I$32*$I$41</f>
        <v>52.65</v>
      </c>
      <c r="C27" s="331">
        <f t="shared" ref="C27:H27" si="4">+C22*$I$32*$I$41</f>
        <v>58.5</v>
      </c>
      <c r="D27" s="331">
        <f t="shared" si="4"/>
        <v>64.350000000000009</v>
      </c>
      <c r="E27" s="331">
        <f t="shared" si="4"/>
        <v>70.200000000000017</v>
      </c>
      <c r="F27" s="331">
        <f t="shared" si="4"/>
        <v>76.050000000000026</v>
      </c>
      <c r="G27" s="331">
        <f t="shared" si="4"/>
        <v>81.90000000000002</v>
      </c>
      <c r="H27" s="331">
        <f t="shared" si="4"/>
        <v>87.750000000000043</v>
      </c>
      <c r="I27" s="417"/>
    </row>
    <row r="28" spans="1:16" x14ac:dyDescent="0.2">
      <c r="A28" s="350" t="s">
        <v>944</v>
      </c>
      <c r="B28" s="331">
        <f>+B22*$I$33*$I$41</f>
        <v>26.324999999999999</v>
      </c>
      <c r="C28" s="331">
        <f t="shared" ref="C28:H28" si="5">+C22*$I$33*$I$41</f>
        <v>29.25</v>
      </c>
      <c r="D28" s="331">
        <f t="shared" si="5"/>
        <v>32.175000000000004</v>
      </c>
      <c r="E28" s="331">
        <f t="shared" si="5"/>
        <v>35.100000000000009</v>
      </c>
      <c r="F28" s="331">
        <f t="shared" si="5"/>
        <v>38.025000000000013</v>
      </c>
      <c r="G28" s="331">
        <f t="shared" si="5"/>
        <v>40.95000000000001</v>
      </c>
      <c r="H28" s="331">
        <f t="shared" si="5"/>
        <v>43.875000000000021</v>
      </c>
      <c r="I28" s="417"/>
    </row>
    <row r="29" spans="1:16" x14ac:dyDescent="0.2">
      <c r="A29" s="350" t="s">
        <v>945</v>
      </c>
      <c r="B29" s="331">
        <f>+B22*$I$34*$I$41</f>
        <v>184.27500000000001</v>
      </c>
      <c r="C29" s="331">
        <f t="shared" ref="C29:H29" si="6">+C22*$I$34*$I$41</f>
        <v>204.75</v>
      </c>
      <c r="D29" s="331">
        <f t="shared" si="6"/>
        <v>225.22499999999999</v>
      </c>
      <c r="E29" s="331">
        <f t="shared" si="6"/>
        <v>245.70000000000005</v>
      </c>
      <c r="F29" s="331">
        <f t="shared" si="6"/>
        <v>266.17500000000007</v>
      </c>
      <c r="G29" s="331">
        <f t="shared" si="6"/>
        <v>286.65000000000003</v>
      </c>
      <c r="H29" s="331">
        <f t="shared" si="6"/>
        <v>307.12500000000006</v>
      </c>
      <c r="I29" s="417"/>
    </row>
    <row r="30" spans="1:16" x14ac:dyDescent="0.2">
      <c r="A30" s="330"/>
      <c r="B30" s="331"/>
      <c r="C30" s="331"/>
      <c r="D30" s="421"/>
      <c r="E30" s="421"/>
      <c r="F30" s="421"/>
      <c r="G30" s="421"/>
      <c r="H30" s="421"/>
      <c r="I30" s="417"/>
    </row>
    <row r="31" spans="1:16" x14ac:dyDescent="0.2">
      <c r="A31" s="330" t="s">
        <v>635</v>
      </c>
      <c r="B31" s="331"/>
      <c r="C31" s="331"/>
      <c r="D31" s="421"/>
      <c r="E31" s="421"/>
      <c r="F31" s="421"/>
      <c r="G31" s="421"/>
      <c r="H31" s="421"/>
      <c r="I31" s="417"/>
    </row>
    <row r="32" spans="1:16" x14ac:dyDescent="0.2">
      <c r="A32" s="576" t="str">
        <f>+'Input Sheet'!B6</f>
        <v>Total Input (Flax) (MT)</v>
      </c>
      <c r="B32" s="316">
        <f t="shared" ref="B32:H36" si="7">+ROUND(B$17*B$19*$I32,0)</f>
        <v>54</v>
      </c>
      <c r="C32" s="316">
        <f t="shared" si="7"/>
        <v>60</v>
      </c>
      <c r="D32" s="344">
        <f t="shared" si="7"/>
        <v>66</v>
      </c>
      <c r="E32" s="344">
        <f t="shared" si="7"/>
        <v>72</v>
      </c>
      <c r="F32" s="344">
        <f t="shared" si="7"/>
        <v>78</v>
      </c>
      <c r="G32" s="344">
        <f t="shared" si="7"/>
        <v>84</v>
      </c>
      <c r="H32" s="344">
        <f t="shared" si="7"/>
        <v>90</v>
      </c>
      <c r="I32" s="577">
        <v>0.2</v>
      </c>
      <c r="J32" s="365">
        <f>+$B$22*I32</f>
        <v>81</v>
      </c>
      <c r="K32">
        <f>+I32*$C$22</f>
        <v>90</v>
      </c>
      <c r="L32" s="27">
        <f>+I32*$D$22</f>
        <v>99.000000000000014</v>
      </c>
      <c r="M32" s="27">
        <f>+I32*$E$22</f>
        <v>108.00000000000003</v>
      </c>
      <c r="N32" s="27">
        <f>+I32*$F$22</f>
        <v>117.00000000000003</v>
      </c>
      <c r="O32" s="27">
        <f>+I32*$G$22</f>
        <v>126.00000000000003</v>
      </c>
      <c r="P32">
        <f>+$H$22*I32</f>
        <v>135.00000000000006</v>
      </c>
    </row>
    <row r="33" spans="1:19" x14ac:dyDescent="0.2">
      <c r="A33" s="576" t="str">
        <f>+'Input Sheet'!B7</f>
        <v>Total Input (Safflower) (MT)</v>
      </c>
      <c r="B33" s="316">
        <f t="shared" si="7"/>
        <v>27</v>
      </c>
      <c r="C33" s="316">
        <f t="shared" si="7"/>
        <v>30</v>
      </c>
      <c r="D33" s="344">
        <f t="shared" si="7"/>
        <v>33</v>
      </c>
      <c r="E33" s="344">
        <f t="shared" si="7"/>
        <v>36</v>
      </c>
      <c r="F33" s="344">
        <f t="shared" si="7"/>
        <v>39</v>
      </c>
      <c r="G33" s="344">
        <f t="shared" si="7"/>
        <v>42</v>
      </c>
      <c r="H33" s="344">
        <f t="shared" si="7"/>
        <v>45</v>
      </c>
      <c r="I33" s="577">
        <v>0.1</v>
      </c>
      <c r="J33" s="365">
        <f>+$B$22*I33</f>
        <v>40.5</v>
      </c>
      <c r="K33">
        <f>+I33*$C$22</f>
        <v>45</v>
      </c>
      <c r="L33" s="27">
        <f>+I33*$D$22</f>
        <v>49.500000000000007</v>
      </c>
      <c r="M33" s="27">
        <f>+I33*$E$22</f>
        <v>54.000000000000014</v>
      </c>
      <c r="N33" s="27">
        <f>+I33*$F$22</f>
        <v>58.500000000000014</v>
      </c>
      <c r="O33" s="27">
        <f>+I33*$G$22</f>
        <v>63.000000000000014</v>
      </c>
      <c r="P33">
        <f>+$H$22*I33</f>
        <v>67.500000000000028</v>
      </c>
    </row>
    <row r="34" spans="1:19" x14ac:dyDescent="0.2">
      <c r="A34" s="576" t="str">
        <f>+'Input Sheet'!B8</f>
        <v>Total Input -Mustard (MT)</v>
      </c>
      <c r="B34" s="316">
        <f t="shared" si="7"/>
        <v>189</v>
      </c>
      <c r="C34" s="316">
        <f t="shared" si="7"/>
        <v>210</v>
      </c>
      <c r="D34" s="344">
        <f t="shared" si="7"/>
        <v>231</v>
      </c>
      <c r="E34" s="344">
        <f t="shared" si="7"/>
        <v>252</v>
      </c>
      <c r="F34" s="344">
        <f t="shared" si="7"/>
        <v>273</v>
      </c>
      <c r="G34" s="344">
        <f t="shared" si="7"/>
        <v>294</v>
      </c>
      <c r="H34" s="344">
        <f t="shared" si="7"/>
        <v>315</v>
      </c>
      <c r="I34" s="577">
        <v>0.7</v>
      </c>
      <c r="J34" s="365">
        <f>+$B$22*I34</f>
        <v>283.5</v>
      </c>
      <c r="K34">
        <f>+I34*$C$22</f>
        <v>315</v>
      </c>
      <c r="L34" s="27">
        <f>+I34*$D$22</f>
        <v>346.5</v>
      </c>
      <c r="M34" s="27">
        <f>+I34*$E$22</f>
        <v>378.00000000000006</v>
      </c>
      <c r="N34" s="27">
        <f>+I34*$F$22</f>
        <v>409.50000000000006</v>
      </c>
      <c r="O34" s="27">
        <f>+I34*$G$22</f>
        <v>441.00000000000006</v>
      </c>
      <c r="P34">
        <f>+$H$22*I34</f>
        <v>472.50000000000011</v>
      </c>
    </row>
    <row r="35" spans="1:19" hidden="1" x14ac:dyDescent="0.2">
      <c r="A35" s="576" t="str">
        <f>+'Input Sheet'!B9</f>
        <v>Total Input -Tomato (MT)</v>
      </c>
      <c r="B35" s="316">
        <f t="shared" si="7"/>
        <v>0</v>
      </c>
      <c r="C35" s="316">
        <f t="shared" si="7"/>
        <v>0</v>
      </c>
      <c r="D35" s="344">
        <f t="shared" si="7"/>
        <v>0</v>
      </c>
      <c r="E35" s="344">
        <f t="shared" si="7"/>
        <v>0</v>
      </c>
      <c r="F35" s="344">
        <f t="shared" si="7"/>
        <v>0</v>
      </c>
      <c r="G35" s="344">
        <f t="shared" si="7"/>
        <v>0</v>
      </c>
      <c r="H35" s="344">
        <f t="shared" si="7"/>
        <v>0</v>
      </c>
      <c r="I35" s="577">
        <f>+'Input Sheet'!C9</f>
        <v>0</v>
      </c>
    </row>
    <row r="36" spans="1:19" hidden="1" x14ac:dyDescent="0.2">
      <c r="A36" s="576" t="str">
        <f>+'Input Sheet'!B10</f>
        <v>Total Input -Chilli (MT)</v>
      </c>
      <c r="B36" s="316">
        <f t="shared" si="7"/>
        <v>0</v>
      </c>
      <c r="C36" s="316">
        <f t="shared" si="7"/>
        <v>0</v>
      </c>
      <c r="D36" s="344">
        <f t="shared" si="7"/>
        <v>0</v>
      </c>
      <c r="E36" s="344">
        <f t="shared" si="7"/>
        <v>0</v>
      </c>
      <c r="F36" s="344">
        <f t="shared" si="7"/>
        <v>0</v>
      </c>
      <c r="G36" s="344">
        <f t="shared" si="7"/>
        <v>0</v>
      </c>
      <c r="H36" s="344">
        <f t="shared" si="7"/>
        <v>0</v>
      </c>
      <c r="I36" s="577">
        <f>+'Input Sheet'!C10</f>
        <v>0</v>
      </c>
    </row>
    <row r="37" spans="1:19" x14ac:dyDescent="0.2">
      <c r="A37" s="576" t="s">
        <v>852</v>
      </c>
      <c r="B37" s="333">
        <f t="shared" ref="B37:H37" si="8">SUM(B32:B36)</f>
        <v>270</v>
      </c>
      <c r="C37" s="333">
        <f t="shared" si="8"/>
        <v>300</v>
      </c>
      <c r="D37" s="333">
        <f t="shared" si="8"/>
        <v>330</v>
      </c>
      <c r="E37" s="333">
        <f t="shared" si="8"/>
        <v>360</v>
      </c>
      <c r="F37" s="333">
        <f t="shared" si="8"/>
        <v>390</v>
      </c>
      <c r="G37" s="333">
        <f t="shared" si="8"/>
        <v>420</v>
      </c>
      <c r="H37" s="333">
        <f t="shared" si="8"/>
        <v>450</v>
      </c>
      <c r="I37" s="417"/>
    </row>
    <row r="38" spans="1:19" x14ac:dyDescent="0.2">
      <c r="A38" s="332"/>
      <c r="B38" s="333"/>
      <c r="C38" s="333"/>
      <c r="D38" s="389"/>
      <c r="E38" s="389"/>
      <c r="F38" s="389"/>
      <c r="G38" s="389"/>
      <c r="H38" s="389"/>
      <c r="I38" s="417"/>
    </row>
    <row r="39" spans="1:19" x14ac:dyDescent="0.2">
      <c r="A39" s="579" t="str">
        <f>+'Input Sheet'!B28</f>
        <v>Captive Operations Grade Output (Flax)(MT)</v>
      </c>
      <c r="B39" s="316"/>
      <c r="C39" s="316"/>
      <c r="D39" s="344"/>
      <c r="E39" s="344"/>
      <c r="F39" s="344"/>
      <c r="G39" s="344"/>
      <c r="H39" s="344"/>
      <c r="I39" s="417"/>
    </row>
    <row r="40" spans="1:19" x14ac:dyDescent="0.2">
      <c r="A40" s="579" t="str">
        <f>+'Input Sheet'!B29</f>
        <v>Flax Oil</v>
      </c>
      <c r="B40" s="333">
        <f t="shared" ref="B40:H42" si="9">+ROUND(B$32*$I40,0)</f>
        <v>16</v>
      </c>
      <c r="C40" s="333">
        <f t="shared" si="9"/>
        <v>18</v>
      </c>
      <c r="D40" s="389">
        <f t="shared" si="9"/>
        <v>20</v>
      </c>
      <c r="E40" s="389">
        <f t="shared" si="9"/>
        <v>22</v>
      </c>
      <c r="F40" s="389">
        <f t="shared" si="9"/>
        <v>23</v>
      </c>
      <c r="G40" s="389">
        <f t="shared" si="9"/>
        <v>25</v>
      </c>
      <c r="H40" s="389">
        <f t="shared" si="9"/>
        <v>27</v>
      </c>
      <c r="I40" s="578">
        <v>0.3</v>
      </c>
      <c r="J40" s="365">
        <f>+J32*$I$40</f>
        <v>24.3</v>
      </c>
      <c r="K40" s="365">
        <f>+K32*$I$40</f>
        <v>27</v>
      </c>
      <c r="L40" s="365">
        <f>+L32*$I$40</f>
        <v>29.700000000000003</v>
      </c>
      <c r="M40" s="365">
        <f>+M32*$I$40</f>
        <v>32.400000000000006</v>
      </c>
      <c r="O40" s="27">
        <f>+P40/$P$51</f>
        <v>0.19901234567901233</v>
      </c>
      <c r="P40" s="27">
        <f>+B40+J40</f>
        <v>40.299999999999997</v>
      </c>
      <c r="Q40" s="27">
        <f>+C40+K40</f>
        <v>45</v>
      </c>
      <c r="R40" s="27">
        <f>+D40+L40</f>
        <v>49.7</v>
      </c>
      <c r="S40" s="27">
        <f>+E40+M40</f>
        <v>54.400000000000006</v>
      </c>
    </row>
    <row r="41" spans="1:19" x14ac:dyDescent="0.2">
      <c r="A41" s="579" t="str">
        <f>+'Input Sheet'!B30</f>
        <v>Oil Cake</v>
      </c>
      <c r="B41" s="333">
        <f t="shared" si="9"/>
        <v>35</v>
      </c>
      <c r="C41" s="333">
        <f t="shared" si="9"/>
        <v>39</v>
      </c>
      <c r="D41" s="389">
        <f t="shared" si="9"/>
        <v>43</v>
      </c>
      <c r="E41" s="389">
        <f t="shared" si="9"/>
        <v>47</v>
      </c>
      <c r="F41" s="389">
        <f t="shared" si="9"/>
        <v>51</v>
      </c>
      <c r="G41" s="389">
        <f t="shared" si="9"/>
        <v>55</v>
      </c>
      <c r="H41" s="389">
        <f t="shared" si="9"/>
        <v>59</v>
      </c>
      <c r="I41" s="578">
        <v>0.65</v>
      </c>
    </row>
    <row r="42" spans="1:19" x14ac:dyDescent="0.2">
      <c r="A42" s="579" t="str">
        <f>+'Input Sheet'!B31</f>
        <v>Waste</v>
      </c>
      <c r="B42" s="333">
        <f t="shared" si="9"/>
        <v>3</v>
      </c>
      <c r="C42" s="333">
        <f t="shared" si="9"/>
        <v>3</v>
      </c>
      <c r="D42" s="389">
        <f t="shared" si="9"/>
        <v>3</v>
      </c>
      <c r="E42" s="389">
        <f t="shared" si="9"/>
        <v>4</v>
      </c>
      <c r="F42" s="389">
        <f t="shared" si="9"/>
        <v>4</v>
      </c>
      <c r="G42" s="389">
        <f t="shared" si="9"/>
        <v>4</v>
      </c>
      <c r="H42" s="389">
        <f t="shared" si="9"/>
        <v>5</v>
      </c>
      <c r="I42" s="578">
        <f>+'Input Sheet'!C31</f>
        <v>0.05</v>
      </c>
    </row>
    <row r="43" spans="1:19" x14ac:dyDescent="0.2">
      <c r="A43" s="316"/>
      <c r="B43" s="316"/>
      <c r="C43" s="316"/>
      <c r="D43" s="344"/>
      <c r="E43" s="344"/>
      <c r="F43" s="344"/>
      <c r="G43" s="344"/>
      <c r="H43" s="344"/>
      <c r="I43" s="417"/>
    </row>
    <row r="44" spans="1:19" x14ac:dyDescent="0.2">
      <c r="A44" s="579" t="str">
        <f>+'Input Sheet'!B35</f>
        <v>Captive Operations Grade Output (SAFFOWER)(MT)</v>
      </c>
      <c r="B44" s="316"/>
      <c r="C44" s="316"/>
      <c r="D44" s="344"/>
      <c r="E44" s="344"/>
      <c r="F44" s="344"/>
      <c r="G44" s="344"/>
      <c r="H44" s="344"/>
      <c r="I44" s="417"/>
    </row>
    <row r="45" spans="1:19" x14ac:dyDescent="0.2">
      <c r="A45" s="579" t="str">
        <f>+'Input Sheet'!B36</f>
        <v>Safflower Oil</v>
      </c>
      <c r="B45" s="333">
        <f t="shared" ref="B45:H47" si="10">+ROUND(B$33*$I45,0)</f>
        <v>8</v>
      </c>
      <c r="C45" s="333">
        <f t="shared" si="10"/>
        <v>9</v>
      </c>
      <c r="D45" s="389">
        <f t="shared" si="10"/>
        <v>10</v>
      </c>
      <c r="E45" s="389">
        <f t="shared" si="10"/>
        <v>11</v>
      </c>
      <c r="F45" s="389">
        <f t="shared" si="10"/>
        <v>12</v>
      </c>
      <c r="G45" s="389">
        <f t="shared" si="10"/>
        <v>13</v>
      </c>
      <c r="H45" s="389">
        <f t="shared" si="10"/>
        <v>14</v>
      </c>
      <c r="I45" s="578">
        <v>0.3</v>
      </c>
      <c r="J45" s="365">
        <f>+J33*$I$45</f>
        <v>12.15</v>
      </c>
      <c r="K45" s="365">
        <f>+K33*$I$45</f>
        <v>13.5</v>
      </c>
      <c r="L45" s="365">
        <f>+L33*$I$45</f>
        <v>14.850000000000001</v>
      </c>
      <c r="M45" s="365">
        <f>+M33*$I$45</f>
        <v>16.200000000000003</v>
      </c>
      <c r="O45" s="27">
        <f>+P45/$P$51</f>
        <v>9.9506172839506163E-2</v>
      </c>
      <c r="P45" s="27">
        <f>+B45+J45</f>
        <v>20.149999999999999</v>
      </c>
      <c r="Q45" s="27">
        <f>+C45+K45</f>
        <v>22.5</v>
      </c>
      <c r="R45" s="27">
        <f>+D45+L45</f>
        <v>24.85</v>
      </c>
      <c r="S45" s="27">
        <f>+E45+M45</f>
        <v>27.200000000000003</v>
      </c>
    </row>
    <row r="46" spans="1:19" x14ac:dyDescent="0.2">
      <c r="A46" s="579" t="str">
        <f>+'Input Sheet'!B37</f>
        <v>Oil Cake</v>
      </c>
      <c r="B46" s="333">
        <f t="shared" si="10"/>
        <v>18</v>
      </c>
      <c r="C46" s="333">
        <f t="shared" si="10"/>
        <v>20</v>
      </c>
      <c r="D46" s="389">
        <f t="shared" si="10"/>
        <v>21</v>
      </c>
      <c r="E46" s="389">
        <f t="shared" si="10"/>
        <v>23</v>
      </c>
      <c r="F46" s="389">
        <f t="shared" si="10"/>
        <v>25</v>
      </c>
      <c r="G46" s="389">
        <f t="shared" si="10"/>
        <v>27</v>
      </c>
      <c r="H46" s="389">
        <f t="shared" si="10"/>
        <v>29</v>
      </c>
      <c r="I46" s="578">
        <v>0.65</v>
      </c>
    </row>
    <row r="47" spans="1:19" x14ac:dyDescent="0.2">
      <c r="A47" s="579" t="str">
        <f>+'Input Sheet'!B38</f>
        <v>Waste</v>
      </c>
      <c r="B47" s="333">
        <f t="shared" si="10"/>
        <v>7</v>
      </c>
      <c r="C47" s="333">
        <f t="shared" si="10"/>
        <v>8</v>
      </c>
      <c r="D47" s="389">
        <f t="shared" si="10"/>
        <v>8</v>
      </c>
      <c r="E47" s="389">
        <f t="shared" si="10"/>
        <v>9</v>
      </c>
      <c r="F47" s="389">
        <f t="shared" si="10"/>
        <v>10</v>
      </c>
      <c r="G47" s="389">
        <f t="shared" si="10"/>
        <v>11</v>
      </c>
      <c r="H47" s="389">
        <f t="shared" si="10"/>
        <v>11</v>
      </c>
      <c r="I47" s="578">
        <f>+'Input Sheet'!C36</f>
        <v>0.25</v>
      </c>
    </row>
    <row r="48" spans="1:19" x14ac:dyDescent="0.2">
      <c r="A48" s="316"/>
      <c r="B48" s="316"/>
      <c r="C48" s="316"/>
      <c r="D48" s="344"/>
      <c r="E48" s="344"/>
      <c r="F48" s="344"/>
      <c r="G48" s="344"/>
      <c r="H48" s="344"/>
      <c r="I48" s="417"/>
    </row>
    <row r="49" spans="1:19" x14ac:dyDescent="0.2">
      <c r="A49" s="580" t="str">
        <f>+'Input Sheet'!B42</f>
        <v>Captive Operations Grade Output (Mustard)(MT)</v>
      </c>
      <c r="B49" s="316"/>
      <c r="C49" s="316"/>
      <c r="D49" s="344"/>
      <c r="E49" s="344"/>
      <c r="F49" s="344"/>
      <c r="G49" s="344"/>
      <c r="H49" s="344"/>
      <c r="I49" s="417"/>
    </row>
    <row r="50" spans="1:19" x14ac:dyDescent="0.2">
      <c r="A50" s="581" t="str">
        <f>+'Input Sheet'!B43</f>
        <v>Mustard  Oil</v>
      </c>
      <c r="B50" s="333">
        <f t="shared" ref="B50:H50" si="11">+ROUND(B$34*$I50,0)</f>
        <v>57</v>
      </c>
      <c r="C50" s="333">
        <f t="shared" si="11"/>
        <v>63</v>
      </c>
      <c r="D50" s="389">
        <f t="shared" si="11"/>
        <v>69</v>
      </c>
      <c r="E50" s="389">
        <f t="shared" si="11"/>
        <v>76</v>
      </c>
      <c r="F50" s="389">
        <f t="shared" si="11"/>
        <v>82</v>
      </c>
      <c r="G50" s="389">
        <f t="shared" si="11"/>
        <v>88</v>
      </c>
      <c r="H50" s="389">
        <f t="shared" si="11"/>
        <v>95</v>
      </c>
      <c r="I50" s="578">
        <v>0.3</v>
      </c>
      <c r="J50" s="365">
        <f>+$I$50*J34</f>
        <v>85.05</v>
      </c>
      <c r="K50" s="365">
        <f>+$I$50*K34</f>
        <v>94.5</v>
      </c>
      <c r="L50" s="365">
        <f>+$I$50*L34</f>
        <v>103.95</v>
      </c>
      <c r="M50" s="365">
        <f>+$I$50*M34</f>
        <v>113.40000000000002</v>
      </c>
      <c r="O50" s="27">
        <f>+P50/$P$51</f>
        <v>0.70148148148148148</v>
      </c>
      <c r="P50" s="27">
        <f>+B50+J50</f>
        <v>142.05000000000001</v>
      </c>
      <c r="Q50" s="27">
        <f>+C50+K50</f>
        <v>157.5</v>
      </c>
      <c r="R50" s="27">
        <f>+D50+L50</f>
        <v>172.95</v>
      </c>
      <c r="S50" s="27">
        <f>+E50+M50</f>
        <v>189.40000000000003</v>
      </c>
    </row>
    <row r="51" spans="1:19" x14ac:dyDescent="0.2">
      <c r="A51" s="581" t="str">
        <f>+'Input Sheet'!B44</f>
        <v>Oil Cake</v>
      </c>
      <c r="B51" s="333">
        <f t="shared" ref="B51:H51" si="12">+ROUND(B$34*$I51,0)</f>
        <v>123</v>
      </c>
      <c r="C51" s="333">
        <f t="shared" si="12"/>
        <v>137</v>
      </c>
      <c r="D51" s="333">
        <f t="shared" si="12"/>
        <v>150</v>
      </c>
      <c r="E51" s="333">
        <f t="shared" si="12"/>
        <v>164</v>
      </c>
      <c r="F51" s="333">
        <f t="shared" si="12"/>
        <v>177</v>
      </c>
      <c r="G51" s="333">
        <f t="shared" si="12"/>
        <v>191</v>
      </c>
      <c r="H51" s="333">
        <f t="shared" si="12"/>
        <v>205</v>
      </c>
      <c r="I51" s="578">
        <v>0.65</v>
      </c>
      <c r="P51" s="27">
        <f>SUM(P40:P50)</f>
        <v>202.5</v>
      </c>
      <c r="Q51" s="27">
        <f>SUM(Q40:Q50)</f>
        <v>225</v>
      </c>
      <c r="R51" s="27">
        <f>SUM(R40:R50)</f>
        <v>247.5</v>
      </c>
    </row>
    <row r="52" spans="1:19" x14ac:dyDescent="0.2">
      <c r="A52" s="581" t="str">
        <f>+'Input Sheet'!B45</f>
        <v>Waste</v>
      </c>
      <c r="B52" s="333">
        <f t="shared" ref="B52:H52" si="13">+ROUND(B$34*$I52,0)</f>
        <v>9</v>
      </c>
      <c r="C52" s="333">
        <f t="shared" si="13"/>
        <v>11</v>
      </c>
      <c r="D52" s="389">
        <f t="shared" si="13"/>
        <v>12</v>
      </c>
      <c r="E52" s="389">
        <f t="shared" si="13"/>
        <v>13</v>
      </c>
      <c r="F52" s="389">
        <f t="shared" si="13"/>
        <v>14</v>
      </c>
      <c r="G52" s="389">
        <f t="shared" si="13"/>
        <v>15</v>
      </c>
      <c r="H52" s="389">
        <f t="shared" si="13"/>
        <v>16</v>
      </c>
      <c r="I52" s="578">
        <v>0.05</v>
      </c>
    </row>
    <row r="53" spans="1:19" x14ac:dyDescent="0.2">
      <c r="A53" s="316"/>
      <c r="B53" s="316"/>
      <c r="C53" s="316"/>
      <c r="D53" s="344"/>
      <c r="E53" s="344"/>
      <c r="F53" s="344"/>
      <c r="G53" s="344"/>
      <c r="H53" s="344"/>
      <c r="I53" s="417"/>
    </row>
    <row r="54" spans="1:19" hidden="1" x14ac:dyDescent="0.2">
      <c r="A54" s="580" t="str">
        <f>+'Input Sheet'!B47</f>
        <v>Captive Operations Grade Output -Tomato(MT)</v>
      </c>
      <c r="B54" s="316"/>
      <c r="C54" s="316"/>
      <c r="D54" s="344"/>
      <c r="E54" s="344"/>
      <c r="F54" s="344"/>
      <c r="G54" s="344"/>
      <c r="H54" s="344"/>
      <c r="I54" s="417"/>
    </row>
    <row r="55" spans="1:19" hidden="1" x14ac:dyDescent="0.2">
      <c r="A55" s="581" t="str">
        <f>+'Input Sheet'!B48</f>
        <v>Grade 1</v>
      </c>
      <c r="B55" s="333">
        <f t="shared" ref="B55:H57" si="14">+ROUND(B$35*$I55,0)</f>
        <v>0</v>
      </c>
      <c r="C55" s="333">
        <f t="shared" si="14"/>
        <v>0</v>
      </c>
      <c r="D55" s="389">
        <f t="shared" si="14"/>
        <v>0</v>
      </c>
      <c r="E55" s="389">
        <f t="shared" si="14"/>
        <v>0</v>
      </c>
      <c r="F55" s="389">
        <f t="shared" si="14"/>
        <v>0</v>
      </c>
      <c r="G55" s="389">
        <f t="shared" si="14"/>
        <v>0</v>
      </c>
      <c r="H55" s="389">
        <f t="shared" si="14"/>
        <v>0</v>
      </c>
      <c r="I55" s="578">
        <f>+'Input Sheet'!C48</f>
        <v>0</v>
      </c>
    </row>
    <row r="56" spans="1:19" hidden="1" x14ac:dyDescent="0.2">
      <c r="A56" s="581" t="str">
        <f>+'Input Sheet'!B49</f>
        <v>Grade 2</v>
      </c>
      <c r="B56" s="333">
        <f t="shared" si="14"/>
        <v>0</v>
      </c>
      <c r="C56" s="333">
        <f t="shared" si="14"/>
        <v>0</v>
      </c>
      <c r="D56" s="389">
        <f t="shared" si="14"/>
        <v>0</v>
      </c>
      <c r="E56" s="389">
        <f t="shared" si="14"/>
        <v>0</v>
      </c>
      <c r="F56" s="389">
        <f t="shared" si="14"/>
        <v>0</v>
      </c>
      <c r="G56" s="389">
        <f t="shared" si="14"/>
        <v>0</v>
      </c>
      <c r="H56" s="389">
        <f t="shared" si="14"/>
        <v>0</v>
      </c>
      <c r="I56" s="578">
        <f>+'Input Sheet'!C49</f>
        <v>0</v>
      </c>
    </row>
    <row r="57" spans="1:19" hidden="1" x14ac:dyDescent="0.2">
      <c r="A57" s="581" t="str">
        <f>+'Input Sheet'!B50</f>
        <v>Animal Feed</v>
      </c>
      <c r="B57" s="333">
        <f t="shared" si="14"/>
        <v>0</v>
      </c>
      <c r="C57" s="333">
        <f t="shared" si="14"/>
        <v>0</v>
      </c>
      <c r="D57" s="389">
        <f t="shared" si="14"/>
        <v>0</v>
      </c>
      <c r="E57" s="389">
        <f t="shared" si="14"/>
        <v>0</v>
      </c>
      <c r="F57" s="389">
        <f t="shared" si="14"/>
        <v>0</v>
      </c>
      <c r="G57" s="389">
        <f t="shared" si="14"/>
        <v>0</v>
      </c>
      <c r="H57" s="389">
        <f t="shared" si="14"/>
        <v>0</v>
      </c>
      <c r="I57" s="578">
        <f>+'Input Sheet'!C50</f>
        <v>0</v>
      </c>
    </row>
    <row r="58" spans="1:19" hidden="1" x14ac:dyDescent="0.2">
      <c r="A58" s="316"/>
      <c r="B58" s="316"/>
      <c r="C58" s="316"/>
      <c r="D58" s="344"/>
      <c r="E58" s="344"/>
      <c r="F58" s="344"/>
      <c r="G58" s="344"/>
      <c r="H58" s="344"/>
      <c r="I58" s="417"/>
    </row>
    <row r="59" spans="1:19" hidden="1" x14ac:dyDescent="0.2">
      <c r="A59" s="580" t="str">
        <f>+'Input Sheet'!B52</f>
        <v>Captive Operations Grade Output -Chilli(MT)</v>
      </c>
      <c r="B59" s="316"/>
      <c r="C59" s="316"/>
      <c r="D59" s="344"/>
      <c r="E59" s="344"/>
      <c r="F59" s="344"/>
      <c r="G59" s="344"/>
      <c r="H59" s="344"/>
      <c r="I59" s="417"/>
    </row>
    <row r="60" spans="1:19" hidden="1" x14ac:dyDescent="0.2">
      <c r="A60" s="581" t="str">
        <f>+'Input Sheet'!B53</f>
        <v>Green Chilli</v>
      </c>
      <c r="B60" s="333">
        <f t="shared" ref="B60:H62" si="15">+ROUND(B$36*$I60,0)</f>
        <v>0</v>
      </c>
      <c r="C60" s="333">
        <f t="shared" si="15"/>
        <v>0</v>
      </c>
      <c r="D60" s="389">
        <f t="shared" si="15"/>
        <v>0</v>
      </c>
      <c r="E60" s="389">
        <f t="shared" si="15"/>
        <v>0</v>
      </c>
      <c r="F60" s="389">
        <f t="shared" si="15"/>
        <v>0</v>
      </c>
      <c r="G60" s="389">
        <f t="shared" si="15"/>
        <v>0</v>
      </c>
      <c r="H60" s="389">
        <f t="shared" si="15"/>
        <v>0</v>
      </c>
      <c r="I60" s="578">
        <f>+'Input Sheet'!C53</f>
        <v>0</v>
      </c>
    </row>
    <row r="61" spans="1:19" hidden="1" x14ac:dyDescent="0.2">
      <c r="A61" s="581" t="str">
        <f>+'Input Sheet'!B54</f>
        <v>Red Chilli</v>
      </c>
      <c r="B61" s="333">
        <f t="shared" si="15"/>
        <v>0</v>
      </c>
      <c r="C61" s="333">
        <f t="shared" si="15"/>
        <v>0</v>
      </c>
      <c r="D61" s="389">
        <f t="shared" si="15"/>
        <v>0</v>
      </c>
      <c r="E61" s="389">
        <f t="shared" si="15"/>
        <v>0</v>
      </c>
      <c r="F61" s="389">
        <f t="shared" si="15"/>
        <v>0</v>
      </c>
      <c r="G61" s="389">
        <f t="shared" si="15"/>
        <v>0</v>
      </c>
      <c r="H61" s="389">
        <f t="shared" si="15"/>
        <v>0</v>
      </c>
      <c r="I61" s="578">
        <f>+'Input Sheet'!C54</f>
        <v>0</v>
      </c>
    </row>
    <row r="62" spans="1:19" hidden="1" x14ac:dyDescent="0.2">
      <c r="A62" s="581" t="str">
        <f>+'Input Sheet'!B55</f>
        <v>Waste</v>
      </c>
      <c r="B62" s="333">
        <f t="shared" si="15"/>
        <v>0</v>
      </c>
      <c r="C62" s="333">
        <f t="shared" si="15"/>
        <v>0</v>
      </c>
      <c r="D62" s="389">
        <f t="shared" si="15"/>
        <v>0</v>
      </c>
      <c r="E62" s="389">
        <f t="shared" si="15"/>
        <v>0</v>
      </c>
      <c r="F62" s="389">
        <f t="shared" si="15"/>
        <v>0</v>
      </c>
      <c r="G62" s="389">
        <f t="shared" si="15"/>
        <v>0</v>
      </c>
      <c r="H62" s="389">
        <f t="shared" si="15"/>
        <v>0</v>
      </c>
      <c r="I62" s="578">
        <f>+'Input Sheet'!C55</f>
        <v>0</v>
      </c>
    </row>
    <row r="63" spans="1:19" hidden="1" x14ac:dyDescent="0.2">
      <c r="A63" s="316"/>
      <c r="B63" s="316"/>
      <c r="C63" s="316"/>
      <c r="D63" s="344"/>
      <c r="E63" s="344"/>
      <c r="F63" s="344"/>
      <c r="G63" s="344"/>
      <c r="H63" s="344"/>
      <c r="I63" s="417"/>
    </row>
    <row r="64" spans="1:19" x14ac:dyDescent="0.2">
      <c r="A64" s="316" t="s">
        <v>656</v>
      </c>
      <c r="B64" s="316">
        <f>0.5*10</f>
        <v>5</v>
      </c>
      <c r="C64" s="316">
        <f t="shared" ref="C64:H64" si="16">+B64</f>
        <v>5</v>
      </c>
      <c r="D64" s="344">
        <f t="shared" si="16"/>
        <v>5</v>
      </c>
      <c r="E64" s="344">
        <f t="shared" si="16"/>
        <v>5</v>
      </c>
      <c r="F64" s="344">
        <f t="shared" si="16"/>
        <v>5</v>
      </c>
      <c r="G64" s="344">
        <f t="shared" si="16"/>
        <v>5</v>
      </c>
      <c r="H64" s="344">
        <f t="shared" si="16"/>
        <v>5</v>
      </c>
      <c r="I64" s="417"/>
    </row>
    <row r="65" spans="1:10" x14ac:dyDescent="0.2">
      <c r="A65" s="316"/>
      <c r="B65" s="316"/>
      <c r="C65" s="316"/>
      <c r="D65" s="344"/>
      <c r="E65" s="344"/>
      <c r="F65" s="344"/>
      <c r="G65" s="344"/>
      <c r="H65" s="344"/>
      <c r="I65" s="417"/>
    </row>
    <row r="66" spans="1:10" x14ac:dyDescent="0.2">
      <c r="A66" s="332" t="s">
        <v>638</v>
      </c>
      <c r="B66" s="316">
        <f t="shared" ref="B66:H66" si="17">ROUND(B22/B64,0)</f>
        <v>81</v>
      </c>
      <c r="C66" s="316">
        <f t="shared" si="17"/>
        <v>90</v>
      </c>
      <c r="D66" s="344">
        <f t="shared" si="17"/>
        <v>99</v>
      </c>
      <c r="E66" s="344">
        <f t="shared" si="17"/>
        <v>108</v>
      </c>
      <c r="F66" s="344">
        <f t="shared" si="17"/>
        <v>117</v>
      </c>
      <c r="G66" s="344">
        <f t="shared" si="17"/>
        <v>126</v>
      </c>
      <c r="H66" s="344">
        <f t="shared" si="17"/>
        <v>135</v>
      </c>
      <c r="I66" s="417"/>
    </row>
    <row r="67" spans="1:10" x14ac:dyDescent="0.2">
      <c r="A67" s="332" t="s">
        <v>639</v>
      </c>
      <c r="B67" s="316">
        <f t="shared" ref="B67:H67" si="18">ROUND((SUM(B32:B36))/B64,0)</f>
        <v>54</v>
      </c>
      <c r="C67" s="316">
        <f t="shared" si="18"/>
        <v>60</v>
      </c>
      <c r="D67" s="344">
        <f t="shared" si="18"/>
        <v>66</v>
      </c>
      <c r="E67" s="344">
        <f t="shared" si="18"/>
        <v>72</v>
      </c>
      <c r="F67" s="344">
        <f t="shared" si="18"/>
        <v>78</v>
      </c>
      <c r="G67" s="344">
        <f t="shared" si="18"/>
        <v>84</v>
      </c>
      <c r="H67" s="344">
        <f t="shared" si="18"/>
        <v>90</v>
      </c>
      <c r="I67" s="417"/>
    </row>
    <row r="68" spans="1:10" x14ac:dyDescent="0.2">
      <c r="A68" s="316"/>
      <c r="B68" s="316"/>
      <c r="C68" s="316"/>
      <c r="D68" s="344"/>
      <c r="E68" s="344"/>
      <c r="F68" s="344"/>
      <c r="G68" s="344"/>
      <c r="H68" s="344"/>
      <c r="I68" s="417"/>
    </row>
    <row r="69" spans="1:10" x14ac:dyDescent="0.2">
      <c r="A69" s="317" t="s">
        <v>657</v>
      </c>
      <c r="B69" s="317">
        <f t="shared" ref="B69:H69" si="19">B66+B67</f>
        <v>135</v>
      </c>
      <c r="C69" s="317">
        <f t="shared" si="19"/>
        <v>150</v>
      </c>
      <c r="D69" s="341">
        <f t="shared" si="19"/>
        <v>165</v>
      </c>
      <c r="E69" s="341">
        <f t="shared" si="19"/>
        <v>180</v>
      </c>
      <c r="F69" s="341">
        <f t="shared" si="19"/>
        <v>195</v>
      </c>
      <c r="G69" s="341">
        <f t="shared" si="19"/>
        <v>210</v>
      </c>
      <c r="H69" s="341">
        <f t="shared" si="19"/>
        <v>225</v>
      </c>
      <c r="I69" s="422"/>
    </row>
    <row r="70" spans="1:10" x14ac:dyDescent="0.2">
      <c r="A70" s="78"/>
      <c r="B70" s="78"/>
      <c r="C70" s="78"/>
      <c r="D70" s="93"/>
      <c r="E70" s="93"/>
      <c r="F70" s="93"/>
      <c r="G70" s="93"/>
      <c r="H70" s="93"/>
    </row>
    <row r="71" spans="1:10" x14ac:dyDescent="0.2">
      <c r="A71" s="78"/>
      <c r="B71" s="78"/>
      <c r="C71" s="78"/>
      <c r="D71" s="93"/>
      <c r="E71" s="93"/>
      <c r="F71" s="93"/>
      <c r="G71" s="93"/>
      <c r="H71" s="93"/>
    </row>
    <row r="72" spans="1:10" x14ac:dyDescent="0.2">
      <c r="A72" s="78"/>
      <c r="B72" s="78"/>
      <c r="C72" s="78"/>
      <c r="D72" s="93"/>
      <c r="E72" s="93"/>
      <c r="F72" s="93"/>
      <c r="G72" s="93"/>
      <c r="H72" s="93"/>
    </row>
    <row r="73" spans="1:10" x14ac:dyDescent="0.2">
      <c r="B73" s="27"/>
      <c r="C73" s="27"/>
    </row>
    <row r="74" spans="1:10" ht="18" x14ac:dyDescent="0.2">
      <c r="A74" s="704" t="s">
        <v>976</v>
      </c>
      <c r="B74" s="704"/>
      <c r="C74" s="704"/>
      <c r="D74" s="704"/>
      <c r="E74" s="704"/>
      <c r="F74" s="704"/>
      <c r="G74" s="704"/>
      <c r="H74" s="704"/>
      <c r="I74" s="704"/>
      <c r="J74" s="704"/>
    </row>
    <row r="75" spans="1:10" x14ac:dyDescent="0.2">
      <c r="A75" s="273"/>
      <c r="B75" s="273"/>
      <c r="C75" s="273"/>
      <c r="D75" s="423"/>
      <c r="E75" s="423"/>
      <c r="F75" s="423"/>
      <c r="G75" s="423"/>
      <c r="H75" s="423"/>
    </row>
    <row r="76" spans="1:10" x14ac:dyDescent="0.2">
      <c r="A76" s="276"/>
      <c r="B76" s="276"/>
      <c r="C76" s="276"/>
      <c r="D76" s="424">
        <v>1</v>
      </c>
      <c r="E76" s="424">
        <f t="shared" ref="E76:J76" si="20">(D76*5%)+D76</f>
        <v>1.05</v>
      </c>
      <c r="F76" s="424">
        <f t="shared" si="20"/>
        <v>1.1025</v>
      </c>
      <c r="G76" s="424">
        <f t="shared" si="20"/>
        <v>1.1576250000000001</v>
      </c>
      <c r="H76" s="424">
        <f t="shared" si="20"/>
        <v>1.2155062500000002</v>
      </c>
      <c r="I76" s="424">
        <f t="shared" si="20"/>
        <v>1.2762815625000004</v>
      </c>
      <c r="J76" s="424">
        <f t="shared" si="20"/>
        <v>1.3400956406250004</v>
      </c>
    </row>
    <row r="77" spans="1:10" x14ac:dyDescent="0.2">
      <c r="A77" s="78"/>
      <c r="B77" s="78"/>
      <c r="C77" s="78"/>
      <c r="D77" s="93"/>
      <c r="E77" s="93"/>
      <c r="F77" s="93"/>
      <c r="G77" s="93"/>
      <c r="H77" s="93"/>
      <c r="I77" s="93"/>
      <c r="J77" s="93"/>
    </row>
    <row r="78" spans="1:10" x14ac:dyDescent="0.2">
      <c r="A78" s="122" t="s">
        <v>0</v>
      </c>
      <c r="B78" s="122" t="s">
        <v>128</v>
      </c>
      <c r="C78" s="122" t="s">
        <v>148</v>
      </c>
      <c r="D78" s="397" t="s">
        <v>2</v>
      </c>
      <c r="E78" s="397" t="s">
        <v>3</v>
      </c>
      <c r="F78" s="397" t="s">
        <v>4</v>
      </c>
      <c r="G78" s="397" t="s">
        <v>5</v>
      </c>
      <c r="H78" s="397" t="s">
        <v>6</v>
      </c>
      <c r="I78" s="397" t="s">
        <v>163</v>
      </c>
      <c r="J78" s="397" t="s">
        <v>162</v>
      </c>
    </row>
    <row r="79" spans="1:10" x14ac:dyDescent="0.2">
      <c r="A79" s="79"/>
      <c r="B79" s="79"/>
      <c r="C79" s="79"/>
      <c r="D79" s="363"/>
      <c r="E79" s="363"/>
      <c r="F79" s="363"/>
      <c r="G79" s="363"/>
      <c r="H79" s="363"/>
      <c r="I79" s="363"/>
      <c r="J79" s="363"/>
    </row>
    <row r="80" spans="1:10" x14ac:dyDescent="0.2">
      <c r="A80" s="81" t="s">
        <v>124</v>
      </c>
      <c r="B80" s="81"/>
      <c r="C80" s="81"/>
      <c r="D80" s="425"/>
      <c r="E80" s="425"/>
      <c r="F80" s="425"/>
      <c r="G80" s="425"/>
      <c r="H80" s="425"/>
      <c r="I80" s="363"/>
      <c r="J80" s="363"/>
    </row>
    <row r="81" spans="1:11" s="365" customFormat="1" x14ac:dyDescent="0.2">
      <c r="A81" s="363" t="s">
        <v>283</v>
      </c>
      <c r="B81" s="364" t="s">
        <v>288</v>
      </c>
      <c r="C81" s="361">
        <f>+B23</f>
        <v>2300</v>
      </c>
      <c r="D81" s="536">
        <f t="shared" ref="D81:J81" si="21">B22*$C81*D$76/100000</f>
        <v>9.3149999999999995</v>
      </c>
      <c r="E81" s="536">
        <f t="shared" si="21"/>
        <v>10.8675</v>
      </c>
      <c r="F81" s="536">
        <f t="shared" si="21"/>
        <v>12.551962500000002</v>
      </c>
      <c r="G81" s="536">
        <f t="shared" si="21"/>
        <v>14.377702500000005</v>
      </c>
      <c r="H81" s="536">
        <f t="shared" si="21"/>
        <v>16.354636593750005</v>
      </c>
      <c r="I81" s="536">
        <f t="shared" si="21"/>
        <v>18.493319840625009</v>
      </c>
      <c r="J81" s="536">
        <f t="shared" si="21"/>
        <v>20.804984820703137</v>
      </c>
      <c r="K81" s="537"/>
    </row>
    <row r="82" spans="1:11" x14ac:dyDescent="0.2">
      <c r="A82" s="79" t="s">
        <v>687</v>
      </c>
      <c r="B82" s="192" t="s">
        <v>689</v>
      </c>
      <c r="C82" s="192" t="s">
        <v>688</v>
      </c>
      <c r="D82" s="536">
        <f t="shared" ref="D82:J82" si="22">+C237</f>
        <v>216.69894212962961</v>
      </c>
      <c r="E82" s="536">
        <f t="shared" si="22"/>
        <v>252.81333333333333</v>
      </c>
      <c r="F82" s="536">
        <f t="shared" si="22"/>
        <v>292.79997925925932</v>
      </c>
      <c r="G82" s="536">
        <f t="shared" si="22"/>
        <v>337.81818259259262</v>
      </c>
      <c r="H82" s="536">
        <f t="shared" si="22"/>
        <v>381.95935351851858</v>
      </c>
      <c r="I82" s="536">
        <f t="shared" si="22"/>
        <v>432.19071555555553</v>
      </c>
      <c r="J82" s="536">
        <f t="shared" si="22"/>
        <v>488.38289861111116</v>
      </c>
      <c r="K82" s="13"/>
    </row>
    <row r="83" spans="1:11" hidden="1" x14ac:dyDescent="0.2">
      <c r="A83" s="79" t="s">
        <v>891</v>
      </c>
      <c r="B83" s="192" t="s">
        <v>690</v>
      </c>
      <c r="C83" s="192">
        <v>10</v>
      </c>
      <c r="D83" s="536">
        <v>0</v>
      </c>
      <c r="E83" s="536">
        <v>0</v>
      </c>
      <c r="F83" s="536">
        <v>0</v>
      </c>
      <c r="G83" s="536">
        <v>0</v>
      </c>
      <c r="H83" s="536">
        <v>0</v>
      </c>
      <c r="I83" s="536">
        <v>0</v>
      </c>
      <c r="J83" s="536">
        <v>0</v>
      </c>
      <c r="K83" s="13"/>
    </row>
    <row r="84" spans="1:11" hidden="1" x14ac:dyDescent="0.2">
      <c r="A84" s="79" t="s">
        <v>865</v>
      </c>
      <c r="B84" s="192" t="s">
        <v>688</v>
      </c>
      <c r="C84" s="192" t="s">
        <v>688</v>
      </c>
      <c r="D84" s="536">
        <f>+C621</f>
        <v>0</v>
      </c>
      <c r="E84" s="536">
        <f t="shared" ref="E84:J84" si="23">+D621</f>
        <v>0</v>
      </c>
      <c r="F84" s="536">
        <f t="shared" si="23"/>
        <v>0</v>
      </c>
      <c r="G84" s="536">
        <f t="shared" si="23"/>
        <v>0</v>
      </c>
      <c r="H84" s="536">
        <f t="shared" si="23"/>
        <v>0</v>
      </c>
      <c r="I84" s="536">
        <f t="shared" si="23"/>
        <v>0</v>
      </c>
      <c r="J84" s="536">
        <f t="shared" si="23"/>
        <v>0</v>
      </c>
      <c r="K84" s="13"/>
    </row>
    <row r="85" spans="1:11" x14ac:dyDescent="0.2">
      <c r="A85" s="79"/>
      <c r="B85" s="79"/>
      <c r="C85" s="79"/>
      <c r="D85" s="536"/>
      <c r="E85" s="536"/>
      <c r="F85" s="536"/>
      <c r="G85" s="536"/>
      <c r="H85" s="536"/>
      <c r="I85" s="536"/>
      <c r="J85" s="536"/>
      <c r="K85" s="13"/>
    </row>
    <row r="86" spans="1:11" x14ac:dyDescent="0.2">
      <c r="A86" s="81" t="s">
        <v>124</v>
      </c>
      <c r="B86" s="81"/>
      <c r="C86" s="81"/>
      <c r="D86" s="538">
        <f t="shared" ref="D86:J86" si="24">SUM(D81:D84)</f>
        <v>226.01394212962961</v>
      </c>
      <c r="E86" s="538">
        <f t="shared" si="24"/>
        <v>263.68083333333334</v>
      </c>
      <c r="F86" s="538">
        <f t="shared" si="24"/>
        <v>305.35194175925932</v>
      </c>
      <c r="G86" s="538">
        <f t="shared" si="24"/>
        <v>352.19588509259262</v>
      </c>
      <c r="H86" s="538">
        <f t="shared" si="24"/>
        <v>398.31399011226858</v>
      </c>
      <c r="I86" s="538">
        <f t="shared" si="24"/>
        <v>450.68403539618055</v>
      </c>
      <c r="J86" s="538">
        <f t="shared" si="24"/>
        <v>509.18788343181427</v>
      </c>
      <c r="K86" s="13"/>
    </row>
    <row r="87" spans="1:11" x14ac:dyDescent="0.2">
      <c r="A87" s="79"/>
      <c r="B87" s="79"/>
      <c r="C87" s="79"/>
      <c r="D87" s="536"/>
      <c r="E87" s="536"/>
      <c r="F87" s="536"/>
      <c r="G87" s="536"/>
      <c r="H87" s="536"/>
      <c r="I87" s="536"/>
      <c r="J87" s="536"/>
      <c r="K87" s="13"/>
    </row>
    <row r="88" spans="1:11" x14ac:dyDescent="0.2">
      <c r="A88" s="157" t="s">
        <v>753</v>
      </c>
      <c r="B88" s="79"/>
      <c r="C88" s="79" t="s">
        <v>755</v>
      </c>
      <c r="D88" s="536">
        <f t="shared" ref="D88:J89" si="25">+C479</f>
        <v>0</v>
      </c>
      <c r="E88" s="536">
        <f t="shared" si="25"/>
        <v>5.5755439814814807</v>
      </c>
      <c r="F88" s="536">
        <f t="shared" si="25"/>
        <v>12.369981481481481</v>
      </c>
      <c r="G88" s="536">
        <f t="shared" si="25"/>
        <v>20.654274999999998</v>
      </c>
      <c r="H88" s="536">
        <f t="shared" si="25"/>
        <v>30.570712962962961</v>
      </c>
      <c r="I88" s="536">
        <f t="shared" si="25"/>
        <v>42.077910185185175</v>
      </c>
      <c r="J88" s="536">
        <f t="shared" si="25"/>
        <v>55.392925925925915</v>
      </c>
      <c r="K88" s="13"/>
    </row>
    <row r="89" spans="1:11" x14ac:dyDescent="0.2">
      <c r="A89" s="157" t="s">
        <v>754</v>
      </c>
      <c r="B89" s="79"/>
      <c r="C89" s="79" t="s">
        <v>755</v>
      </c>
      <c r="D89" s="536">
        <f t="shared" si="25"/>
        <v>5.5755439814814807</v>
      </c>
      <c r="E89" s="536">
        <f t="shared" si="25"/>
        <v>12.369981481481481</v>
      </c>
      <c r="F89" s="536">
        <f t="shared" si="25"/>
        <v>20.654274999999998</v>
      </c>
      <c r="G89" s="536">
        <f t="shared" si="25"/>
        <v>30.570712962962961</v>
      </c>
      <c r="H89" s="536">
        <f t="shared" si="25"/>
        <v>42.077910185185175</v>
      </c>
      <c r="I89" s="536">
        <f t="shared" si="25"/>
        <v>55.392925925925915</v>
      </c>
      <c r="J89" s="536">
        <f t="shared" si="25"/>
        <v>70.911291666666671</v>
      </c>
      <c r="K89" s="13"/>
    </row>
    <row r="90" spans="1:11" x14ac:dyDescent="0.2">
      <c r="A90" s="79"/>
      <c r="B90" s="79"/>
      <c r="C90" s="79"/>
      <c r="D90" s="536"/>
      <c r="E90" s="536"/>
      <c r="F90" s="536"/>
      <c r="G90" s="536"/>
      <c r="H90" s="536"/>
      <c r="I90" s="536"/>
      <c r="J90" s="536"/>
      <c r="K90" s="13"/>
    </row>
    <row r="91" spans="1:11" x14ac:dyDescent="0.2">
      <c r="A91" s="79"/>
      <c r="B91" s="79"/>
      <c r="C91" s="79"/>
      <c r="D91" s="536"/>
      <c r="E91" s="536"/>
      <c r="F91" s="536"/>
      <c r="G91" s="536"/>
      <c r="H91" s="536"/>
      <c r="I91" s="536"/>
      <c r="J91" s="536"/>
      <c r="K91" s="13"/>
    </row>
    <row r="92" spans="1:11" x14ac:dyDescent="0.2">
      <c r="A92" s="81" t="s">
        <v>137</v>
      </c>
      <c r="B92" s="81"/>
      <c r="C92" s="81"/>
      <c r="D92" s="536"/>
      <c r="E92" s="536"/>
      <c r="F92" s="536"/>
      <c r="G92" s="536"/>
      <c r="H92" s="536"/>
      <c r="I92" s="536"/>
      <c r="J92" s="536"/>
      <c r="K92" s="13"/>
    </row>
    <row r="93" spans="1:11" x14ac:dyDescent="0.2">
      <c r="A93" s="81" t="s">
        <v>301</v>
      </c>
      <c r="B93" s="81"/>
      <c r="C93" s="79"/>
      <c r="D93" s="536"/>
      <c r="E93" s="536"/>
      <c r="F93" s="536"/>
      <c r="G93" s="536"/>
      <c r="H93" s="536"/>
      <c r="I93" s="536"/>
      <c r="J93" s="536"/>
      <c r="K93" s="13"/>
    </row>
    <row r="94" spans="1:11" x14ac:dyDescent="0.2">
      <c r="A94" s="79" t="s">
        <v>751</v>
      </c>
      <c r="B94" s="79" t="s">
        <v>288</v>
      </c>
      <c r="C94" s="79" t="s">
        <v>752</v>
      </c>
      <c r="D94" s="630">
        <f t="shared" ref="D94:J94" si="26">+B536</f>
        <v>173.38</v>
      </c>
      <c r="E94" s="630">
        <f t="shared" si="26"/>
        <v>197.82</v>
      </c>
      <c r="F94" s="630">
        <f t="shared" si="26"/>
        <v>228.49</v>
      </c>
      <c r="G94" s="630">
        <f t="shared" si="26"/>
        <v>261.73</v>
      </c>
      <c r="H94" s="630">
        <f t="shared" si="26"/>
        <v>297.70999999999998</v>
      </c>
      <c r="I94" s="630">
        <f t="shared" si="26"/>
        <v>336.65</v>
      </c>
      <c r="J94" s="630">
        <f t="shared" si="26"/>
        <v>378.73</v>
      </c>
      <c r="K94" s="13"/>
    </row>
    <row r="95" spans="1:11" x14ac:dyDescent="0.2">
      <c r="A95" s="79" t="s">
        <v>307</v>
      </c>
      <c r="B95" s="79" t="s">
        <v>781</v>
      </c>
      <c r="C95" s="79" t="s">
        <v>782</v>
      </c>
      <c r="D95" s="630">
        <f>+B69*300*'Input Sheet'!C177/100000</f>
        <v>6.0750000000000002</v>
      </c>
      <c r="E95" s="630">
        <f>+C69*300*'Input Sheet'!D177/100000</f>
        <v>7.65</v>
      </c>
      <c r="F95" s="630">
        <f>+D69*300*'Input Sheet'!E177/100000</f>
        <v>9.4049999999999994</v>
      </c>
      <c r="G95" s="630">
        <f>+E69*300*'Input Sheet'!F177/100000</f>
        <v>11.34</v>
      </c>
      <c r="H95" s="630">
        <f>+F69*300*'Input Sheet'!G177/100000</f>
        <v>13.455</v>
      </c>
      <c r="I95" s="630">
        <f>+G69*300*'Input Sheet'!H177/100000</f>
        <v>15.75</v>
      </c>
      <c r="J95" s="630">
        <f>+H69*300*'Input Sheet'!I177/100000</f>
        <v>18.899999999999999</v>
      </c>
      <c r="K95" s="13"/>
    </row>
    <row r="96" spans="1:11" x14ac:dyDescent="0.2">
      <c r="A96" s="79" t="s">
        <v>139</v>
      </c>
      <c r="B96" s="79" t="s">
        <v>794</v>
      </c>
      <c r="C96" s="79">
        <f>+'Input Sheet'!B193</f>
        <v>3968.0000000000009</v>
      </c>
      <c r="D96" s="630">
        <f>+B69*'Input Sheet'!$B$193/100000</f>
        <v>5.3568000000000016</v>
      </c>
      <c r="E96" s="630">
        <f>+C69*'Input Sheet'!$B$193/100000</f>
        <v>5.9520000000000008</v>
      </c>
      <c r="F96" s="630">
        <f>+D69*'Input Sheet'!$B$193/100000</f>
        <v>6.547200000000001</v>
      </c>
      <c r="G96" s="630">
        <f>+E69*'Input Sheet'!$B$193/100000</f>
        <v>7.1424000000000012</v>
      </c>
      <c r="H96" s="630">
        <f>+F69*'Input Sheet'!$B$193/100000</f>
        <v>7.7376000000000023</v>
      </c>
      <c r="I96" s="630">
        <f>+G69*'Input Sheet'!$B$193/100000</f>
        <v>8.3328000000000024</v>
      </c>
      <c r="J96" s="630">
        <f>+H69*'Input Sheet'!$B$193/100000</f>
        <v>8.9280000000000026</v>
      </c>
      <c r="K96" s="13"/>
    </row>
    <row r="97" spans="1:12" x14ac:dyDescent="0.2">
      <c r="A97" s="79" t="s">
        <v>786</v>
      </c>
      <c r="B97" s="79" t="s">
        <v>794</v>
      </c>
      <c r="C97" s="79">
        <v>500</v>
      </c>
      <c r="D97" s="630">
        <f t="shared" ref="D97:J97" si="27">+$C$97*B69/100000</f>
        <v>0.67500000000000004</v>
      </c>
      <c r="E97" s="630">
        <f t="shared" si="27"/>
        <v>0.75</v>
      </c>
      <c r="F97" s="630">
        <f t="shared" si="27"/>
        <v>0.82499999999999996</v>
      </c>
      <c r="G97" s="630">
        <f t="shared" si="27"/>
        <v>0.9</v>
      </c>
      <c r="H97" s="630">
        <f t="shared" si="27"/>
        <v>0.97499999999999998</v>
      </c>
      <c r="I97" s="630">
        <f t="shared" si="27"/>
        <v>1.05</v>
      </c>
      <c r="J97" s="630">
        <f t="shared" si="27"/>
        <v>1.125</v>
      </c>
      <c r="K97" s="373" t="e">
        <f>500*'[1]Output Schedule'!J122/100000</f>
        <v>#REF!</v>
      </c>
      <c r="L97" s="368" t="e">
        <f>500*'[1]Output Schedule'!K122/100000</f>
        <v>#REF!</v>
      </c>
    </row>
    <row r="98" spans="1:12" x14ac:dyDescent="0.2">
      <c r="A98" s="79" t="s">
        <v>940</v>
      </c>
      <c r="B98" s="79" t="s">
        <v>941</v>
      </c>
      <c r="C98" s="79"/>
      <c r="D98" s="630">
        <f>+(D662+D683)/100000</f>
        <v>3.8407499999999999</v>
      </c>
      <c r="E98" s="630">
        <f t="shared" ref="E98:J98" si="28">+(E662+E683)/100000</f>
        <v>4.2674999999999992</v>
      </c>
      <c r="F98" s="630">
        <f t="shared" si="28"/>
        <v>4.6942500000000003</v>
      </c>
      <c r="G98" s="630">
        <f t="shared" si="28"/>
        <v>5.1684166666666664</v>
      </c>
      <c r="H98" s="630">
        <f t="shared" si="28"/>
        <v>5.5477499999999997</v>
      </c>
      <c r="I98" s="630">
        <f t="shared" si="28"/>
        <v>5.9744999999999999</v>
      </c>
      <c r="J98" s="630">
        <f t="shared" si="28"/>
        <v>6.4486666666666661</v>
      </c>
      <c r="K98" s="373"/>
      <c r="L98" s="368"/>
    </row>
    <row r="99" spans="1:12" x14ac:dyDescent="0.2">
      <c r="A99" s="79" t="s">
        <v>787</v>
      </c>
      <c r="B99" s="79" t="s">
        <v>792</v>
      </c>
      <c r="C99" s="79">
        <v>800</v>
      </c>
      <c r="D99" s="630">
        <f>+$C$99*'Input Sheet'!C177/100000</f>
        <v>0.12</v>
      </c>
      <c r="E99" s="630">
        <f>+$C$99*'Input Sheet'!D177/100000</f>
        <v>0.13600000000000001</v>
      </c>
      <c r="F99" s="630">
        <f>+$C$99*'Input Sheet'!E177/100000</f>
        <v>0.152</v>
      </c>
      <c r="G99" s="630">
        <f>+$C$99*'Input Sheet'!F177/100000</f>
        <v>0.16800000000000001</v>
      </c>
      <c r="H99" s="630">
        <f>+$C$99*'Input Sheet'!G177/100000</f>
        <v>0.184</v>
      </c>
      <c r="I99" s="630">
        <f>+$C$99*'Input Sheet'!H177/100000</f>
        <v>0.2</v>
      </c>
      <c r="J99" s="630">
        <f>+$C$99*'Input Sheet'!I177/100000</f>
        <v>0.224</v>
      </c>
      <c r="K99" s="373" t="e">
        <f>800*'[1]Manpower Schedule'!J82/100000</f>
        <v>#REF!</v>
      </c>
      <c r="L99" s="368" t="e">
        <f>800*'[1]Manpower Schedule'!K82/100000</f>
        <v>#REF!</v>
      </c>
    </row>
    <row r="100" spans="1:12" x14ac:dyDescent="0.2">
      <c r="A100" s="79" t="s">
        <v>788</v>
      </c>
      <c r="B100" s="79" t="s">
        <v>793</v>
      </c>
      <c r="C100" s="79">
        <v>500</v>
      </c>
      <c r="D100" s="630">
        <f t="shared" ref="D100:J100" si="29">+$C$100*B37/100000</f>
        <v>1.35</v>
      </c>
      <c r="E100" s="630">
        <f t="shared" si="29"/>
        <v>1.5</v>
      </c>
      <c r="F100" s="630">
        <f t="shared" si="29"/>
        <v>1.65</v>
      </c>
      <c r="G100" s="630">
        <f t="shared" si="29"/>
        <v>1.8</v>
      </c>
      <c r="H100" s="630">
        <f t="shared" si="29"/>
        <v>1.95</v>
      </c>
      <c r="I100" s="630">
        <f t="shared" si="29"/>
        <v>2.1</v>
      </c>
      <c r="J100" s="630">
        <f t="shared" si="29"/>
        <v>2.25</v>
      </c>
      <c r="K100" s="373" t="e">
        <f>500*'[1]Output Schedule'!J76/100000</f>
        <v>#REF!</v>
      </c>
      <c r="L100" s="368" t="e">
        <f>500*'[1]Output Schedule'!K76/100000</f>
        <v>#REF!</v>
      </c>
    </row>
    <row r="101" spans="1:12" x14ac:dyDescent="0.2">
      <c r="A101" s="79" t="s">
        <v>789</v>
      </c>
      <c r="B101" s="79" t="s">
        <v>794</v>
      </c>
      <c r="C101" s="79">
        <v>300</v>
      </c>
      <c r="D101" s="630">
        <f t="shared" ref="D101:J101" si="30">+$C$101*B69/100000</f>
        <v>0.40500000000000003</v>
      </c>
      <c r="E101" s="630">
        <f t="shared" si="30"/>
        <v>0.45</v>
      </c>
      <c r="F101" s="630">
        <f t="shared" si="30"/>
        <v>0.495</v>
      </c>
      <c r="G101" s="630">
        <f t="shared" si="30"/>
        <v>0.54</v>
      </c>
      <c r="H101" s="630">
        <f t="shared" si="30"/>
        <v>0.58499999999999996</v>
      </c>
      <c r="I101" s="630">
        <f t="shared" si="30"/>
        <v>0.63</v>
      </c>
      <c r="J101" s="630">
        <f t="shared" si="30"/>
        <v>0.67500000000000004</v>
      </c>
      <c r="K101" s="373" t="e">
        <f>300*'[1]Output Schedule'!J122/100000</f>
        <v>#REF!</v>
      </c>
      <c r="L101" s="368" t="e">
        <f>300*'[1]Output Schedule'!K122/100000</f>
        <v>#REF!</v>
      </c>
    </row>
    <row r="102" spans="1:12" x14ac:dyDescent="0.2">
      <c r="A102" s="79" t="s">
        <v>790</v>
      </c>
      <c r="B102" s="79" t="s">
        <v>793</v>
      </c>
      <c r="C102" s="79">
        <v>159</v>
      </c>
      <c r="D102" s="630">
        <f t="shared" ref="D102:J102" si="31">+$C$102*(+SUM(C131,C152,C156,C162,C183,C188,C215,C219,C223,C228,C232))/100000</f>
        <v>0.21461025000000006</v>
      </c>
      <c r="E102" s="630">
        <f t="shared" si="31"/>
        <v>0.23810249999999999</v>
      </c>
      <c r="F102" s="630">
        <f t="shared" si="31"/>
        <v>0.26000475000000001</v>
      </c>
      <c r="G102" s="630">
        <f t="shared" si="31"/>
        <v>0.28508700000000003</v>
      </c>
      <c r="H102" s="630">
        <f t="shared" si="31"/>
        <v>0.30857925000000003</v>
      </c>
      <c r="I102" s="630">
        <f t="shared" si="31"/>
        <v>0.33207150000000007</v>
      </c>
      <c r="J102" s="630">
        <f t="shared" si="31"/>
        <v>0.35715375000000016</v>
      </c>
      <c r="K102" s="373" t="e">
        <f>500*('[1]Sales Schedule'!K63+'[1]Sales Schedule'!K67+'[1]Sales Schedule'!K71)/100000</f>
        <v>#REF!</v>
      </c>
      <c r="L102" s="368" t="e">
        <f>500*('[1]Sales Schedule'!L63+'[1]Sales Schedule'!L67+'[1]Sales Schedule'!L71)/100000</f>
        <v>#REF!</v>
      </c>
    </row>
    <row r="103" spans="1:12" x14ac:dyDescent="0.2">
      <c r="A103" s="79" t="s">
        <v>791</v>
      </c>
      <c r="B103" s="79" t="s">
        <v>794</v>
      </c>
      <c r="C103" s="79">
        <v>500</v>
      </c>
      <c r="D103" s="630">
        <f t="shared" ref="D103:J103" si="32">+$C$103*B69/100000</f>
        <v>0.67500000000000004</v>
      </c>
      <c r="E103" s="630">
        <f t="shared" si="32"/>
        <v>0.75</v>
      </c>
      <c r="F103" s="630">
        <f t="shared" si="32"/>
        <v>0.82499999999999996</v>
      </c>
      <c r="G103" s="630">
        <f t="shared" si="32"/>
        <v>0.9</v>
      </c>
      <c r="H103" s="630">
        <f t="shared" si="32"/>
        <v>0.97499999999999998</v>
      </c>
      <c r="I103" s="630">
        <f t="shared" si="32"/>
        <v>1.05</v>
      </c>
      <c r="J103" s="630">
        <f t="shared" si="32"/>
        <v>1.125</v>
      </c>
      <c r="K103" s="373" t="e">
        <f>500*'[1]Output Schedule'!J122/100000</f>
        <v>#REF!</v>
      </c>
      <c r="L103" s="368" t="e">
        <f>500*'[1]Output Schedule'!K122/100000</f>
        <v>#REF!</v>
      </c>
    </row>
    <row r="104" spans="1:12" x14ac:dyDescent="0.2">
      <c r="A104" s="79"/>
      <c r="B104" s="79"/>
      <c r="C104" s="79"/>
      <c r="D104" s="630"/>
      <c r="E104" s="630"/>
      <c r="F104" s="630"/>
      <c r="G104" s="630"/>
      <c r="H104" s="630"/>
      <c r="I104" s="630"/>
      <c r="J104" s="630"/>
      <c r="K104" s="13"/>
    </row>
    <row r="105" spans="1:12" x14ac:dyDescent="0.2">
      <c r="A105" s="79"/>
      <c r="B105" s="79"/>
      <c r="C105" s="79"/>
      <c r="D105" s="630"/>
      <c r="E105" s="630"/>
      <c r="F105" s="630"/>
      <c r="G105" s="630"/>
      <c r="H105" s="630"/>
      <c r="I105" s="630"/>
      <c r="J105" s="630"/>
      <c r="K105" s="13"/>
    </row>
    <row r="106" spans="1:12" x14ac:dyDescent="0.2">
      <c r="A106" s="79" t="s">
        <v>736</v>
      </c>
      <c r="B106" s="79"/>
      <c r="C106" s="79"/>
      <c r="D106" s="630">
        <f t="shared" ref="D106:J107" si="33">+B604</f>
        <v>0</v>
      </c>
      <c r="E106" s="630">
        <f t="shared" si="33"/>
        <v>3.82</v>
      </c>
      <c r="F106" s="630">
        <f t="shared" si="33"/>
        <v>4.0110000000000001</v>
      </c>
      <c r="G106" s="630">
        <f t="shared" si="33"/>
        <v>4.2115999999999998</v>
      </c>
      <c r="H106" s="630">
        <f t="shared" si="33"/>
        <v>4.4222999999999999</v>
      </c>
      <c r="I106" s="630">
        <f t="shared" si="33"/>
        <v>4.6433</v>
      </c>
      <c r="J106" s="630">
        <f t="shared" si="33"/>
        <v>4.8756000000000004</v>
      </c>
      <c r="K106" s="13"/>
    </row>
    <row r="107" spans="1:12" x14ac:dyDescent="0.2">
      <c r="A107" s="79" t="s">
        <v>737</v>
      </c>
      <c r="B107" s="79"/>
      <c r="C107" s="79"/>
      <c r="D107" s="630">
        <f t="shared" si="33"/>
        <v>3.82</v>
      </c>
      <c r="E107" s="630">
        <f t="shared" si="33"/>
        <v>4.0110000000000001</v>
      </c>
      <c r="F107" s="630">
        <f t="shared" si="33"/>
        <v>4.2115999999999998</v>
      </c>
      <c r="G107" s="630">
        <f t="shared" si="33"/>
        <v>4.4222999999999999</v>
      </c>
      <c r="H107" s="630">
        <f t="shared" si="33"/>
        <v>4.6433</v>
      </c>
      <c r="I107" s="630">
        <f t="shared" si="33"/>
        <v>4.8756000000000004</v>
      </c>
      <c r="J107" s="630">
        <f t="shared" si="33"/>
        <v>5.1194000000000006</v>
      </c>
      <c r="K107" s="13"/>
    </row>
    <row r="108" spans="1:12" x14ac:dyDescent="0.2">
      <c r="A108" s="80"/>
      <c r="B108" s="80"/>
      <c r="C108" s="80"/>
      <c r="D108" s="536"/>
      <c r="E108" s="536"/>
      <c r="F108" s="536"/>
      <c r="G108" s="536"/>
      <c r="H108" s="536"/>
      <c r="I108" s="536"/>
      <c r="J108" s="536"/>
      <c r="K108" s="13"/>
    </row>
    <row r="109" spans="1:12" x14ac:dyDescent="0.2">
      <c r="A109" s="97" t="s">
        <v>308</v>
      </c>
      <c r="B109" s="80"/>
      <c r="C109" s="80"/>
      <c r="D109" s="538">
        <f t="shared" ref="D109:J109" si="34">SUM(D94:D106)-D107</f>
        <v>188.27216024999998</v>
      </c>
      <c r="E109" s="538">
        <f t="shared" si="34"/>
        <v>219.32260249999999</v>
      </c>
      <c r="F109" s="538">
        <f t="shared" si="34"/>
        <v>253.14285475</v>
      </c>
      <c r="G109" s="538">
        <f t="shared" si="34"/>
        <v>289.76320366666658</v>
      </c>
      <c r="H109" s="538">
        <f t="shared" si="34"/>
        <v>329.20692924999997</v>
      </c>
      <c r="I109" s="538">
        <f t="shared" si="34"/>
        <v>371.83707149999998</v>
      </c>
      <c r="J109" s="538">
        <f t="shared" si="34"/>
        <v>418.51902041666671</v>
      </c>
      <c r="K109" s="13"/>
    </row>
    <row r="110" spans="1:12" x14ac:dyDescent="0.2">
      <c r="A110" s="78"/>
      <c r="B110" s="78"/>
      <c r="C110" s="78"/>
      <c r="D110" s="539"/>
      <c r="E110" s="539"/>
      <c r="F110" s="539"/>
      <c r="G110" s="539"/>
      <c r="H110" s="539"/>
      <c r="I110" s="539"/>
      <c r="J110" s="539"/>
      <c r="K110" s="13"/>
    </row>
    <row r="111" spans="1:12" x14ac:dyDescent="0.2">
      <c r="A111" s="158" t="s">
        <v>299</v>
      </c>
      <c r="B111" s="158"/>
      <c r="C111" s="158"/>
      <c r="D111" s="538"/>
      <c r="E111" s="538"/>
      <c r="F111" s="538"/>
      <c r="G111" s="538"/>
      <c r="H111" s="538"/>
      <c r="I111" s="538"/>
      <c r="J111" s="538"/>
      <c r="K111" s="13"/>
    </row>
    <row r="112" spans="1:12" x14ac:dyDescent="0.2">
      <c r="A112" s="158"/>
      <c r="B112" s="158"/>
      <c r="C112" s="158"/>
      <c r="D112" s="538"/>
      <c r="E112" s="538"/>
      <c r="F112" s="538"/>
      <c r="G112" s="538"/>
      <c r="H112" s="538"/>
      <c r="I112" s="538"/>
      <c r="J112" s="538"/>
      <c r="K112" s="13"/>
    </row>
    <row r="113" spans="1:14" x14ac:dyDescent="0.2">
      <c r="A113" s="366" t="s">
        <v>715</v>
      </c>
      <c r="B113" s="369"/>
      <c r="C113" s="367"/>
      <c r="D113" s="540"/>
      <c r="E113" s="540"/>
      <c r="F113" s="540"/>
      <c r="G113" s="540"/>
      <c r="H113" s="540"/>
      <c r="I113" s="540"/>
      <c r="J113" s="541"/>
      <c r="K113" s="374"/>
      <c r="L113" s="370"/>
      <c r="M113" s="254"/>
      <c r="N113" s="254"/>
    </row>
    <row r="114" spans="1:14" ht="27.75" customHeight="1" x14ac:dyDescent="0.2">
      <c r="A114" s="79" t="s">
        <v>716</v>
      </c>
      <c r="B114" s="79" t="s">
        <v>717</v>
      </c>
      <c r="C114" s="79">
        <v>0.01</v>
      </c>
      <c r="D114" s="630">
        <f>+('2.Capex Details'!$G$67+'2.Capex Details'!$G$12)*'13.Facility 2 Grain Processing-'!$C$114</f>
        <v>1.4139809999999999</v>
      </c>
      <c r="E114" s="630">
        <f>+D114*E76</f>
        <v>1.4846800499999999</v>
      </c>
      <c r="F114" s="630">
        <f>+$D$114*F76</f>
        <v>1.5589140525</v>
      </c>
      <c r="G114" s="630">
        <f>+$D$114*G76</f>
        <v>1.6368597551250001</v>
      </c>
      <c r="H114" s="630">
        <f>+$D$114*H76</f>
        <v>1.7187027428812502</v>
      </c>
      <c r="I114" s="630">
        <f>+$D$114*I76</f>
        <v>1.8046378800253129</v>
      </c>
      <c r="J114" s="630">
        <f>+$D$114*J76</f>
        <v>1.8948697740265785</v>
      </c>
      <c r="K114" s="371"/>
      <c r="L114" s="371"/>
      <c r="M114" s="254"/>
      <c r="N114" s="254"/>
    </row>
    <row r="115" spans="1:14" ht="21.75" customHeight="1" x14ac:dyDescent="0.2">
      <c r="A115" s="79" t="s">
        <v>718</v>
      </c>
      <c r="B115" s="79" t="s">
        <v>719</v>
      </c>
      <c r="C115" s="79">
        <v>5.0000000000000001E-3</v>
      </c>
      <c r="D115" s="630">
        <f>+('2.Capex Details'!$G$67+'2.Capex Details'!$G$12)*C115</f>
        <v>0.70699049999999997</v>
      </c>
      <c r="E115" s="630">
        <f t="shared" ref="E115:J115" si="35">+$D$115*E76</f>
        <v>0.74234002499999996</v>
      </c>
      <c r="F115" s="630">
        <f t="shared" si="35"/>
        <v>0.77945702625000002</v>
      </c>
      <c r="G115" s="630">
        <f t="shared" si="35"/>
        <v>0.81842987756250007</v>
      </c>
      <c r="H115" s="630">
        <f t="shared" si="35"/>
        <v>0.85935137144062512</v>
      </c>
      <c r="I115" s="630">
        <f t="shared" si="35"/>
        <v>0.90231894001265645</v>
      </c>
      <c r="J115" s="630">
        <f t="shared" si="35"/>
        <v>0.94743488701328926</v>
      </c>
      <c r="K115" s="371"/>
      <c r="L115" s="371"/>
      <c r="M115" s="254"/>
      <c r="N115" s="254"/>
    </row>
    <row r="116" spans="1:14" ht="29.25" customHeight="1" x14ac:dyDescent="0.2">
      <c r="A116" s="79" t="s">
        <v>720</v>
      </c>
      <c r="B116" s="79" t="s">
        <v>721</v>
      </c>
      <c r="C116" s="79" t="s">
        <v>795</v>
      </c>
      <c r="D116" s="630">
        <f>+'Input Sheet'!H165+'Input Sheet'!H167+'Input Sheet'!H170+'Input Sheet'!H171</f>
        <v>5.6400000000000006</v>
      </c>
      <c r="E116" s="630">
        <f t="shared" ref="E116:J116" si="36">+$D$116*E76</f>
        <v>5.9220000000000006</v>
      </c>
      <c r="F116" s="630">
        <f t="shared" si="36"/>
        <v>6.2181000000000006</v>
      </c>
      <c r="G116" s="630">
        <f t="shared" si="36"/>
        <v>6.5290050000000015</v>
      </c>
      <c r="H116" s="630">
        <f t="shared" si="36"/>
        <v>6.8554552500000021</v>
      </c>
      <c r="I116" s="630">
        <f t="shared" si="36"/>
        <v>7.1982280125000031</v>
      </c>
      <c r="J116" s="630">
        <f t="shared" si="36"/>
        <v>7.5581394131250033</v>
      </c>
      <c r="K116" s="371"/>
      <c r="L116" s="371"/>
      <c r="M116" s="254"/>
      <c r="N116" s="254"/>
    </row>
    <row r="117" spans="1:14" ht="23.25" customHeight="1" x14ac:dyDescent="0.2">
      <c r="A117" s="79" t="s">
        <v>722</v>
      </c>
      <c r="B117" s="79" t="s">
        <v>939</v>
      </c>
      <c r="C117" s="79"/>
      <c r="D117" s="630">
        <f>+'Input Sheet'!E185/100000</f>
        <v>1.3680000000000001</v>
      </c>
      <c r="E117" s="630">
        <f t="shared" ref="E117:J117" si="37">+$D$117*E76</f>
        <v>1.4364000000000001</v>
      </c>
      <c r="F117" s="630">
        <f t="shared" si="37"/>
        <v>1.5082200000000001</v>
      </c>
      <c r="G117" s="630">
        <f t="shared" si="37"/>
        <v>1.5836310000000002</v>
      </c>
      <c r="H117" s="630">
        <f t="shared" si="37"/>
        <v>1.6628125500000004</v>
      </c>
      <c r="I117" s="630">
        <f t="shared" si="37"/>
        <v>1.7459531775000006</v>
      </c>
      <c r="J117" s="630">
        <f t="shared" si="37"/>
        <v>1.8332508363750006</v>
      </c>
      <c r="K117" s="371"/>
      <c r="L117" s="371"/>
      <c r="M117" s="254"/>
      <c r="N117" s="254"/>
    </row>
    <row r="118" spans="1:14" x14ac:dyDescent="0.2">
      <c r="A118" s="81" t="s">
        <v>796</v>
      </c>
      <c r="B118" s="81"/>
      <c r="C118" s="81"/>
      <c r="D118" s="399">
        <f t="shared" ref="D118:J118" si="38">SUM(D114:D117)</f>
        <v>9.1289715000000005</v>
      </c>
      <c r="E118" s="399">
        <f t="shared" si="38"/>
        <v>9.5854200750000018</v>
      </c>
      <c r="F118" s="399">
        <f t="shared" si="38"/>
        <v>10.06469107875</v>
      </c>
      <c r="G118" s="399">
        <f t="shared" si="38"/>
        <v>10.567925632687501</v>
      </c>
      <c r="H118" s="399">
        <f t="shared" si="38"/>
        <v>11.096321914321878</v>
      </c>
      <c r="I118" s="399">
        <f t="shared" si="38"/>
        <v>11.651138010037974</v>
      </c>
      <c r="J118" s="399">
        <f t="shared" si="38"/>
        <v>12.233694910539871</v>
      </c>
    </row>
    <row r="119" spans="1:14" x14ac:dyDescent="0.2">
      <c r="A119" s="158" t="s">
        <v>287</v>
      </c>
      <c r="B119" s="158"/>
      <c r="C119" s="158"/>
      <c r="D119" s="399">
        <f t="shared" ref="D119:J119" si="39">D109+D118</f>
        <v>197.40113174999999</v>
      </c>
      <c r="E119" s="399">
        <f t="shared" si="39"/>
        <v>228.90802257499999</v>
      </c>
      <c r="F119" s="399">
        <f t="shared" si="39"/>
        <v>263.20754582874997</v>
      </c>
      <c r="G119" s="399">
        <f t="shared" si="39"/>
        <v>300.33112929935407</v>
      </c>
      <c r="H119" s="399">
        <f t="shared" si="39"/>
        <v>340.30325116432186</v>
      </c>
      <c r="I119" s="399">
        <f t="shared" si="39"/>
        <v>383.48820951003796</v>
      </c>
      <c r="J119" s="399">
        <f t="shared" si="39"/>
        <v>430.7527153272066</v>
      </c>
    </row>
    <row r="120" spans="1:14" x14ac:dyDescent="0.2">
      <c r="A120" s="79"/>
      <c r="B120" s="79"/>
      <c r="C120" s="79"/>
      <c r="D120" s="362"/>
      <c r="E120" s="362"/>
      <c r="F120" s="362"/>
      <c r="G120" s="362"/>
      <c r="H120" s="362"/>
      <c r="I120" s="362"/>
      <c r="J120" s="362"/>
    </row>
    <row r="121" spans="1:14" x14ac:dyDescent="0.2">
      <c r="A121" s="81" t="s">
        <v>7</v>
      </c>
      <c r="B121" s="81"/>
      <c r="C121" s="81"/>
      <c r="D121" s="399">
        <f t="shared" ref="D121:J121" si="40">D86-D119+D89-D88</f>
        <v>34.188354361111102</v>
      </c>
      <c r="E121" s="399">
        <f t="shared" si="40"/>
        <v>41.56724825833335</v>
      </c>
      <c r="F121" s="399">
        <f t="shared" si="40"/>
        <v>50.428689449027864</v>
      </c>
      <c r="G121" s="399">
        <f t="shared" si="40"/>
        <v>61.781193756201503</v>
      </c>
      <c r="H121" s="399">
        <f t="shared" si="40"/>
        <v>69.517936170168937</v>
      </c>
      <c r="I121" s="399">
        <f t="shared" si="40"/>
        <v>80.51084162688332</v>
      </c>
      <c r="J121" s="399">
        <f t="shared" si="40"/>
        <v>93.953533845348431</v>
      </c>
    </row>
    <row r="122" spans="1:14" x14ac:dyDescent="0.2">
      <c r="A122" s="98"/>
      <c r="B122" s="98"/>
      <c r="C122" s="98"/>
      <c r="D122" s="93"/>
      <c r="E122" s="93"/>
      <c r="F122" s="93"/>
      <c r="G122" s="93"/>
      <c r="H122" s="93"/>
      <c r="I122" s="93"/>
      <c r="J122" s="93"/>
    </row>
    <row r="123" spans="1:14" x14ac:dyDescent="0.2">
      <c r="A123" s="98"/>
      <c r="B123" s="98"/>
      <c r="C123" s="98"/>
      <c r="D123" s="93"/>
      <c r="E123" s="93"/>
      <c r="F123" s="93"/>
      <c r="G123" s="93"/>
      <c r="H123" s="93"/>
      <c r="I123" s="93"/>
      <c r="J123" s="93"/>
    </row>
    <row r="124" spans="1:14" x14ac:dyDescent="0.2">
      <c r="A124" s="98"/>
      <c r="B124" s="98"/>
      <c r="C124" s="98"/>
      <c r="D124" s="93"/>
      <c r="E124" s="93"/>
      <c r="F124" s="93"/>
      <c r="G124" s="93"/>
      <c r="H124" s="93"/>
      <c r="I124" s="93"/>
      <c r="J124" s="93"/>
    </row>
    <row r="125" spans="1:14" ht="18.75" x14ac:dyDescent="0.2">
      <c r="A125" s="786" t="s">
        <v>797</v>
      </c>
      <c r="B125" s="786"/>
      <c r="C125" s="786"/>
      <c r="D125" s="786"/>
      <c r="E125" s="786"/>
      <c r="F125" s="786"/>
      <c r="G125" s="786"/>
      <c r="H125" s="786"/>
      <c r="I125" s="786"/>
      <c r="J125" s="93"/>
    </row>
    <row r="126" spans="1:14" x14ac:dyDescent="0.2">
      <c r="A126" s="98"/>
      <c r="B126" s="98"/>
      <c r="C126" s="98"/>
      <c r="D126" s="93"/>
      <c r="E126" s="93"/>
      <c r="F126" s="93"/>
      <c r="G126" s="93"/>
      <c r="H126" s="93"/>
      <c r="I126" s="93"/>
      <c r="J126" s="93"/>
    </row>
    <row r="127" spans="1:14" ht="18.75" x14ac:dyDescent="0.2">
      <c r="A127" s="604" t="s">
        <v>674</v>
      </c>
      <c r="B127" s="604"/>
      <c r="C127" s="604"/>
      <c r="D127" s="604"/>
      <c r="E127" s="604"/>
      <c r="F127" s="604"/>
      <c r="G127" s="604"/>
      <c r="H127" s="604"/>
      <c r="I127" s="604"/>
      <c r="J127" s="93"/>
    </row>
    <row r="128" spans="1:14" x14ac:dyDescent="0.2">
      <c r="A128" s="122" t="s">
        <v>661</v>
      </c>
      <c r="B128" s="122" t="s">
        <v>0</v>
      </c>
      <c r="C128" s="122" t="s">
        <v>2</v>
      </c>
      <c r="D128" s="122" t="s">
        <v>3</v>
      </c>
      <c r="E128" s="122" t="s">
        <v>4</v>
      </c>
      <c r="F128" s="122" t="s">
        <v>5</v>
      </c>
      <c r="G128" s="122" t="s">
        <v>6</v>
      </c>
      <c r="H128" s="122" t="s">
        <v>163</v>
      </c>
      <c r="I128" s="122" t="s">
        <v>162</v>
      </c>
      <c r="J128" s="365">
        <v>4</v>
      </c>
    </row>
    <row r="129" spans="1:11" x14ac:dyDescent="0.2">
      <c r="A129" s="334"/>
      <c r="B129" s="335"/>
      <c r="C129" s="336"/>
      <c r="D129" s="427"/>
      <c r="E129" s="427"/>
      <c r="F129" s="427"/>
      <c r="G129" s="427"/>
      <c r="H129" s="427"/>
      <c r="I129" s="427"/>
    </row>
    <row r="130" spans="1:11" x14ac:dyDescent="0.2">
      <c r="A130" s="334"/>
      <c r="B130" s="337" t="str">
        <f>+'Input Sheet'!B68</f>
        <v>Flax</v>
      </c>
      <c r="C130" s="336"/>
      <c r="D130" s="427"/>
      <c r="E130" s="427"/>
      <c r="F130" s="427"/>
      <c r="G130" s="427"/>
      <c r="H130" s="427"/>
      <c r="I130" s="427"/>
    </row>
    <row r="131" spans="1:11" x14ac:dyDescent="0.2">
      <c r="A131" s="338" t="s">
        <v>167</v>
      </c>
      <c r="B131" s="628" t="str">
        <f>+A40</f>
        <v>Flax Oil</v>
      </c>
      <c r="C131" s="332"/>
      <c r="D131" s="389"/>
      <c r="E131" s="389"/>
      <c r="F131" s="389"/>
      <c r="G131" s="389"/>
      <c r="H131" s="389"/>
      <c r="I131" s="389"/>
    </row>
    <row r="132" spans="1:11" x14ac:dyDescent="0.2">
      <c r="A132" s="316"/>
      <c r="B132" s="332" t="s">
        <v>662</v>
      </c>
      <c r="C132" s="339">
        <f t="shared" ref="C132:I132" si="41">+C282</f>
        <v>0</v>
      </c>
      <c r="D132" s="428">
        <f t="shared" si="41"/>
        <v>0</v>
      </c>
      <c r="E132" s="428">
        <f t="shared" si="41"/>
        <v>0</v>
      </c>
      <c r="F132" s="428">
        <f t="shared" si="41"/>
        <v>0</v>
      </c>
      <c r="G132" s="428">
        <f t="shared" si="41"/>
        <v>0</v>
      </c>
      <c r="H132" s="428">
        <f t="shared" si="41"/>
        <v>0</v>
      </c>
      <c r="I132" s="428">
        <f t="shared" si="41"/>
        <v>0</v>
      </c>
    </row>
    <row r="133" spans="1:11" x14ac:dyDescent="0.2">
      <c r="A133" s="316"/>
      <c r="B133" s="315" t="s">
        <v>663</v>
      </c>
      <c r="C133" s="340">
        <f>+C137+C141+C145+C149</f>
        <v>26.269407407407407</v>
      </c>
      <c r="D133" s="340">
        <f t="shared" ref="D133:I133" si="42">+D137+D141+D145+D149</f>
        <v>30.93116666666667</v>
      </c>
      <c r="E133" s="340">
        <f t="shared" si="42"/>
        <v>36.171759259259261</v>
      </c>
      <c r="F133" s="340">
        <f t="shared" si="42"/>
        <v>41.773111111111113</v>
      </c>
      <c r="G133" s="340">
        <f t="shared" si="42"/>
        <v>45.746254629629625</v>
      </c>
      <c r="H133" s="340">
        <f t="shared" si="42"/>
        <v>51.978935185185179</v>
      </c>
      <c r="I133" s="340">
        <f t="shared" si="42"/>
        <v>58.753499999999988</v>
      </c>
    </row>
    <row r="134" spans="1:11" x14ac:dyDescent="0.2">
      <c r="A134" s="316"/>
      <c r="B134" s="315"/>
      <c r="C134" s="340"/>
      <c r="D134" s="429"/>
      <c r="E134" s="429"/>
      <c r="F134" s="429"/>
      <c r="G134" s="429"/>
      <c r="H134" s="429"/>
      <c r="I134" s="429"/>
    </row>
    <row r="135" spans="1:11" s="622" customFormat="1" x14ac:dyDescent="0.2">
      <c r="A135" s="360"/>
      <c r="B135" s="631" t="str">
        <f>+$B$243</f>
        <v>1 Ltr Bottle</v>
      </c>
      <c r="C135" s="340">
        <f>+C246</f>
        <v>6559.2592592592591</v>
      </c>
      <c r="D135" s="340">
        <f t="shared" ref="D135:I135" si="43">+D246</f>
        <v>7379.1666666666679</v>
      </c>
      <c r="E135" s="340">
        <f t="shared" si="43"/>
        <v>8199.0740740740748</v>
      </c>
      <c r="F135" s="340">
        <f t="shared" si="43"/>
        <v>9018.9814814814818</v>
      </c>
      <c r="G135" s="340">
        <f t="shared" si="43"/>
        <v>9428.9351851851843</v>
      </c>
      <c r="H135" s="340">
        <f t="shared" si="43"/>
        <v>10248.842592592591</v>
      </c>
      <c r="I135" s="340">
        <f t="shared" si="43"/>
        <v>11068.749999999996</v>
      </c>
    </row>
    <row r="136" spans="1:11" x14ac:dyDescent="0.2">
      <c r="A136" s="316"/>
      <c r="B136" s="332" t="s">
        <v>938</v>
      </c>
      <c r="C136" s="340">
        <f>+C283</f>
        <v>155</v>
      </c>
      <c r="D136" s="340">
        <f t="shared" ref="D136:I136" si="44">+D283</f>
        <v>160</v>
      </c>
      <c r="E136" s="340">
        <f t="shared" si="44"/>
        <v>170</v>
      </c>
      <c r="F136" s="340">
        <f t="shared" si="44"/>
        <v>180</v>
      </c>
      <c r="G136" s="340">
        <f t="shared" si="44"/>
        <v>190</v>
      </c>
      <c r="H136" s="340">
        <f t="shared" si="44"/>
        <v>200</v>
      </c>
      <c r="I136" s="340">
        <f t="shared" si="44"/>
        <v>210</v>
      </c>
    </row>
    <row r="137" spans="1:11" x14ac:dyDescent="0.2">
      <c r="A137" s="316"/>
      <c r="B137" s="315" t="s">
        <v>165</v>
      </c>
      <c r="C137" s="340">
        <f>+C135*C136/100000</f>
        <v>10.166851851851852</v>
      </c>
      <c r="D137" s="340">
        <f t="shared" ref="D137:I137" si="45">+D135*D136/100000</f>
        <v>11.80666666666667</v>
      </c>
      <c r="E137" s="340">
        <f t="shared" si="45"/>
        <v>13.938425925925928</v>
      </c>
      <c r="F137" s="340">
        <f t="shared" si="45"/>
        <v>16.234166666666667</v>
      </c>
      <c r="G137" s="340">
        <f t="shared" si="45"/>
        <v>17.914976851851851</v>
      </c>
      <c r="H137" s="340">
        <f t="shared" si="45"/>
        <v>20.497685185185183</v>
      </c>
      <c r="I137" s="340">
        <f t="shared" si="45"/>
        <v>23.244374999999991</v>
      </c>
    </row>
    <row r="138" spans="1:11" x14ac:dyDescent="0.2">
      <c r="A138" s="316"/>
      <c r="B138" s="624"/>
      <c r="C138" s="340"/>
      <c r="D138" s="429"/>
      <c r="E138" s="429"/>
      <c r="F138" s="429"/>
      <c r="G138" s="429"/>
      <c r="H138" s="429"/>
      <c r="I138" s="429"/>
    </row>
    <row r="139" spans="1:11" x14ac:dyDescent="0.2">
      <c r="A139" s="316"/>
      <c r="B139" s="624" t="str">
        <f>+$B$249</f>
        <v>5 Ltr Bottle</v>
      </c>
      <c r="C139" s="340">
        <f>+C252</f>
        <v>1073.3333333333333</v>
      </c>
      <c r="D139" s="340">
        <f t="shared" ref="D139:I139" si="46">+D252</f>
        <v>1207.5</v>
      </c>
      <c r="E139" s="340">
        <f t="shared" si="46"/>
        <v>1341.6666666666667</v>
      </c>
      <c r="F139" s="340">
        <f t="shared" si="46"/>
        <v>1475.833333333333</v>
      </c>
      <c r="G139" s="340">
        <f t="shared" si="46"/>
        <v>1542.9166666666665</v>
      </c>
      <c r="H139" s="340">
        <f t="shared" si="46"/>
        <v>1677.083333333333</v>
      </c>
      <c r="I139" s="340">
        <f t="shared" si="46"/>
        <v>1811.2499999999995</v>
      </c>
      <c r="K139" s="626"/>
    </row>
    <row r="140" spans="1:11" x14ac:dyDescent="0.2">
      <c r="A140" s="316"/>
      <c r="B140" s="332" t="s">
        <v>938</v>
      </c>
      <c r="C140" s="340">
        <f>+C284</f>
        <v>725</v>
      </c>
      <c r="D140" s="340">
        <f t="shared" ref="D140:I140" si="47">+D284</f>
        <v>760</v>
      </c>
      <c r="E140" s="340">
        <f t="shared" si="47"/>
        <v>800</v>
      </c>
      <c r="F140" s="340">
        <f t="shared" si="47"/>
        <v>840</v>
      </c>
      <c r="G140" s="340">
        <f t="shared" si="47"/>
        <v>880</v>
      </c>
      <c r="H140" s="340">
        <f t="shared" si="47"/>
        <v>920</v>
      </c>
      <c r="I140" s="340">
        <f t="shared" si="47"/>
        <v>970</v>
      </c>
    </row>
    <row r="141" spans="1:11" x14ac:dyDescent="0.2">
      <c r="A141" s="316"/>
      <c r="B141" s="315" t="s">
        <v>165</v>
      </c>
      <c r="C141" s="340">
        <f t="shared" ref="C141:I141" si="48">+C139*C140/100000</f>
        <v>7.7816666666666663</v>
      </c>
      <c r="D141" s="340">
        <f t="shared" si="48"/>
        <v>9.1769999999999996</v>
      </c>
      <c r="E141" s="340">
        <f t="shared" si="48"/>
        <v>10.733333333333334</v>
      </c>
      <c r="F141" s="340">
        <f t="shared" si="48"/>
        <v>12.396999999999998</v>
      </c>
      <c r="G141" s="340">
        <f t="shared" si="48"/>
        <v>13.577666666666666</v>
      </c>
      <c r="H141" s="340">
        <f t="shared" si="48"/>
        <v>15.429166666666664</v>
      </c>
      <c r="I141" s="340">
        <f t="shared" si="48"/>
        <v>17.569124999999996</v>
      </c>
    </row>
    <row r="142" spans="1:11" x14ac:dyDescent="0.2">
      <c r="A142" s="316"/>
      <c r="B142" s="624"/>
      <c r="C142" s="340"/>
      <c r="D142" s="429"/>
      <c r="E142" s="429"/>
      <c r="F142" s="429"/>
      <c r="G142" s="429"/>
      <c r="H142" s="429"/>
      <c r="I142" s="429"/>
    </row>
    <row r="143" spans="1:11" x14ac:dyDescent="0.2">
      <c r="A143" s="316"/>
      <c r="B143" s="624" t="str">
        <f>+$B$255</f>
        <v>1Ltr Pouch</v>
      </c>
      <c r="C143" s="340">
        <f>+C258</f>
        <v>3577.7777777777774</v>
      </c>
      <c r="D143" s="340">
        <f t="shared" ref="D143:I143" si="49">+D258</f>
        <v>4024.9999999999991</v>
      </c>
      <c r="E143" s="340">
        <f t="shared" si="49"/>
        <v>4472.2222222222217</v>
      </c>
      <c r="F143" s="340">
        <f t="shared" si="49"/>
        <v>4919.4444444444443</v>
      </c>
      <c r="G143" s="340">
        <f t="shared" si="49"/>
        <v>5143.0555555555547</v>
      </c>
      <c r="H143" s="340">
        <f t="shared" si="49"/>
        <v>5590.2777777777774</v>
      </c>
      <c r="I143" s="340">
        <f t="shared" si="49"/>
        <v>6037.5</v>
      </c>
    </row>
    <row r="144" spans="1:11" x14ac:dyDescent="0.2">
      <c r="A144" s="316"/>
      <c r="B144" s="332" t="s">
        <v>938</v>
      </c>
      <c r="C144" s="340">
        <f>+C285</f>
        <v>158</v>
      </c>
      <c r="D144" s="340">
        <f t="shared" ref="D144:I144" si="50">+D285</f>
        <v>170</v>
      </c>
      <c r="E144" s="340">
        <f t="shared" si="50"/>
        <v>180</v>
      </c>
      <c r="F144" s="340">
        <f t="shared" si="50"/>
        <v>190</v>
      </c>
      <c r="G144" s="340">
        <f t="shared" si="50"/>
        <v>200</v>
      </c>
      <c r="H144" s="340">
        <f t="shared" si="50"/>
        <v>210</v>
      </c>
      <c r="I144" s="340">
        <f t="shared" si="50"/>
        <v>220</v>
      </c>
    </row>
    <row r="145" spans="1:9" x14ac:dyDescent="0.2">
      <c r="A145" s="316"/>
      <c r="B145" s="315" t="s">
        <v>165</v>
      </c>
      <c r="C145" s="340">
        <f t="shared" ref="C145:I145" si="51">+C143*C144/100000</f>
        <v>5.6528888888888886</v>
      </c>
      <c r="D145" s="340">
        <f t="shared" si="51"/>
        <v>6.8424999999999985</v>
      </c>
      <c r="E145" s="340">
        <f t="shared" si="51"/>
        <v>8.0499999999999989</v>
      </c>
      <c r="F145" s="340">
        <f t="shared" si="51"/>
        <v>9.3469444444444445</v>
      </c>
      <c r="G145" s="340">
        <f t="shared" si="51"/>
        <v>10.28611111111111</v>
      </c>
      <c r="H145" s="340">
        <f t="shared" si="51"/>
        <v>11.739583333333332</v>
      </c>
      <c r="I145" s="340">
        <f t="shared" si="51"/>
        <v>13.282500000000001</v>
      </c>
    </row>
    <row r="146" spans="1:9" x14ac:dyDescent="0.2">
      <c r="A146" s="316"/>
      <c r="B146" s="624"/>
      <c r="C146" s="340"/>
      <c r="D146" s="429"/>
      <c r="E146" s="429"/>
      <c r="F146" s="429"/>
      <c r="G146" s="429"/>
      <c r="H146" s="429"/>
      <c r="I146" s="429"/>
    </row>
    <row r="147" spans="1:9" x14ac:dyDescent="0.2">
      <c r="A147" s="316"/>
      <c r="B147" s="624" t="str">
        <f>+$B$261</f>
        <v>500 ML Pouch</v>
      </c>
      <c r="C147" s="340">
        <f>+C264</f>
        <v>3066.6666666666661</v>
      </c>
      <c r="D147" s="340">
        <f t="shared" ref="D147:I147" si="52">+D264</f>
        <v>3450</v>
      </c>
      <c r="E147" s="340">
        <f t="shared" si="52"/>
        <v>3833.333333333333</v>
      </c>
      <c r="F147" s="340">
        <f t="shared" si="52"/>
        <v>4216.666666666667</v>
      </c>
      <c r="G147" s="340">
        <f t="shared" si="52"/>
        <v>4408.3333333333321</v>
      </c>
      <c r="H147" s="340">
        <f t="shared" si="52"/>
        <v>4791.666666666667</v>
      </c>
      <c r="I147" s="340">
        <f t="shared" si="52"/>
        <v>5175</v>
      </c>
    </row>
    <row r="148" spans="1:9" x14ac:dyDescent="0.2">
      <c r="A148" s="316"/>
      <c r="B148" s="332" t="s">
        <v>938</v>
      </c>
      <c r="C148" s="340">
        <f>+C286</f>
        <v>87</v>
      </c>
      <c r="D148" s="340">
        <f t="shared" ref="D148:I148" si="53">+D286</f>
        <v>90</v>
      </c>
      <c r="E148" s="340">
        <f t="shared" si="53"/>
        <v>90</v>
      </c>
      <c r="F148" s="340">
        <f t="shared" si="53"/>
        <v>90</v>
      </c>
      <c r="G148" s="340">
        <f t="shared" si="53"/>
        <v>90</v>
      </c>
      <c r="H148" s="340">
        <f t="shared" si="53"/>
        <v>90</v>
      </c>
      <c r="I148" s="340">
        <f t="shared" si="53"/>
        <v>90</v>
      </c>
    </row>
    <row r="149" spans="1:9" x14ac:dyDescent="0.2">
      <c r="A149" s="316"/>
      <c r="B149" s="315" t="s">
        <v>165</v>
      </c>
      <c r="C149" s="340">
        <f t="shared" ref="C149:I149" si="54">+C147*C148/100000</f>
        <v>2.6679999999999993</v>
      </c>
      <c r="D149" s="340">
        <f t="shared" si="54"/>
        <v>3.105</v>
      </c>
      <c r="E149" s="340">
        <f t="shared" si="54"/>
        <v>3.45</v>
      </c>
      <c r="F149" s="340">
        <f t="shared" si="54"/>
        <v>3.7949999999999999</v>
      </c>
      <c r="G149" s="340">
        <f t="shared" si="54"/>
        <v>3.9674999999999989</v>
      </c>
      <c r="H149" s="340">
        <f t="shared" si="54"/>
        <v>4.3125</v>
      </c>
      <c r="I149" s="340">
        <f t="shared" si="54"/>
        <v>4.6574999999999998</v>
      </c>
    </row>
    <row r="150" spans="1:9" x14ac:dyDescent="0.2">
      <c r="A150" s="316"/>
      <c r="B150" s="315"/>
      <c r="C150" s="340"/>
      <c r="D150" s="429"/>
      <c r="E150" s="429"/>
      <c r="F150" s="429"/>
      <c r="G150" s="429"/>
      <c r="H150" s="429"/>
      <c r="I150" s="429"/>
    </row>
    <row r="151" spans="1:9" x14ac:dyDescent="0.2">
      <c r="A151" s="316"/>
      <c r="B151" s="316"/>
      <c r="C151" s="316"/>
      <c r="D151" s="344"/>
      <c r="E151" s="344"/>
      <c r="F151" s="344"/>
      <c r="G151" s="344"/>
      <c r="H151" s="344"/>
      <c r="I151" s="344"/>
    </row>
    <row r="152" spans="1:9" x14ac:dyDescent="0.2">
      <c r="A152" s="338" t="s">
        <v>168</v>
      </c>
      <c r="B152" s="315" t="str">
        <f>+A41</f>
        <v>Oil Cake</v>
      </c>
      <c r="C152" s="332">
        <f t="shared" ref="C152:I152" si="55">+C271</f>
        <v>87.65</v>
      </c>
      <c r="D152" s="389">
        <f t="shared" si="55"/>
        <v>97.5</v>
      </c>
      <c r="E152" s="389">
        <f t="shared" si="55"/>
        <v>107.35000000000001</v>
      </c>
      <c r="F152" s="389">
        <f t="shared" si="55"/>
        <v>117.20000000000002</v>
      </c>
      <c r="G152" s="389">
        <f t="shared" si="55"/>
        <v>127.05000000000003</v>
      </c>
      <c r="H152" s="389">
        <f t="shared" si="55"/>
        <v>136.90000000000003</v>
      </c>
      <c r="I152" s="389">
        <f t="shared" si="55"/>
        <v>146.75000000000006</v>
      </c>
    </row>
    <row r="153" spans="1:9" x14ac:dyDescent="0.2">
      <c r="A153" s="316"/>
      <c r="B153" s="332" t="s">
        <v>662</v>
      </c>
      <c r="C153" s="339">
        <f t="shared" ref="C153:I153" si="56">+C288</f>
        <v>23500</v>
      </c>
      <c r="D153" s="428">
        <f t="shared" si="56"/>
        <v>24680</v>
      </c>
      <c r="E153" s="428">
        <f t="shared" si="56"/>
        <v>25910</v>
      </c>
      <c r="F153" s="428">
        <f t="shared" si="56"/>
        <v>27210</v>
      </c>
      <c r="G153" s="428">
        <f t="shared" si="56"/>
        <v>28570</v>
      </c>
      <c r="H153" s="428">
        <f t="shared" si="56"/>
        <v>30000</v>
      </c>
      <c r="I153" s="428">
        <f t="shared" si="56"/>
        <v>31500</v>
      </c>
    </row>
    <row r="154" spans="1:9" x14ac:dyDescent="0.2">
      <c r="A154" s="316"/>
      <c r="B154" s="315" t="s">
        <v>663</v>
      </c>
      <c r="C154" s="340">
        <f t="shared" ref="C154:I154" si="57">C152*C153/100000</f>
        <v>20.597750000000001</v>
      </c>
      <c r="D154" s="429">
        <f t="shared" si="57"/>
        <v>24.062999999999999</v>
      </c>
      <c r="E154" s="429">
        <f t="shared" si="57"/>
        <v>27.814385000000001</v>
      </c>
      <c r="F154" s="429">
        <f t="shared" si="57"/>
        <v>31.890120000000003</v>
      </c>
      <c r="G154" s="429">
        <f t="shared" si="57"/>
        <v>36.298185000000011</v>
      </c>
      <c r="H154" s="429">
        <f t="shared" si="57"/>
        <v>41.070000000000007</v>
      </c>
      <c r="I154" s="429">
        <f t="shared" si="57"/>
        <v>46.226250000000022</v>
      </c>
    </row>
    <row r="155" spans="1:9" x14ac:dyDescent="0.2">
      <c r="A155" s="316"/>
      <c r="B155" s="316"/>
      <c r="C155" s="316"/>
      <c r="D155" s="344"/>
      <c r="E155" s="344"/>
      <c r="F155" s="344"/>
      <c r="G155" s="344"/>
      <c r="H155" s="344"/>
      <c r="I155" s="344"/>
    </row>
    <row r="156" spans="1:9" hidden="1" x14ac:dyDescent="0.2">
      <c r="A156" s="338" t="s">
        <v>169</v>
      </c>
      <c r="B156" s="342" t="str">
        <f>+A42</f>
        <v>Waste</v>
      </c>
      <c r="C156" s="332">
        <f t="shared" ref="C156:I156" si="58">+C277</f>
        <v>3</v>
      </c>
      <c r="D156" s="389">
        <f t="shared" si="58"/>
        <v>3</v>
      </c>
      <c r="E156" s="389">
        <f t="shared" si="58"/>
        <v>3</v>
      </c>
      <c r="F156" s="389">
        <f t="shared" si="58"/>
        <v>4</v>
      </c>
      <c r="G156" s="389">
        <f t="shared" si="58"/>
        <v>4</v>
      </c>
      <c r="H156" s="389">
        <f t="shared" si="58"/>
        <v>4</v>
      </c>
      <c r="I156" s="389">
        <f t="shared" si="58"/>
        <v>5</v>
      </c>
    </row>
    <row r="157" spans="1:9" hidden="1" x14ac:dyDescent="0.2">
      <c r="A157" s="316"/>
      <c r="B157" s="332" t="s">
        <v>662</v>
      </c>
      <c r="C157" s="339">
        <f t="shared" ref="C157:I157" si="59">+C289</f>
        <v>0</v>
      </c>
      <c r="D157" s="428">
        <f t="shared" si="59"/>
        <v>0</v>
      </c>
      <c r="E157" s="428">
        <f t="shared" si="59"/>
        <v>0</v>
      </c>
      <c r="F157" s="428">
        <f t="shared" si="59"/>
        <v>0</v>
      </c>
      <c r="G157" s="428">
        <f t="shared" si="59"/>
        <v>0</v>
      </c>
      <c r="H157" s="428">
        <f t="shared" si="59"/>
        <v>0</v>
      </c>
      <c r="I157" s="428">
        <f t="shared" si="59"/>
        <v>0</v>
      </c>
    </row>
    <row r="158" spans="1:9" hidden="1" x14ac:dyDescent="0.2">
      <c r="A158" s="316"/>
      <c r="B158" s="315" t="s">
        <v>663</v>
      </c>
      <c r="C158" s="340">
        <f t="shared" ref="C158:I158" si="60">C156*C157/100000</f>
        <v>0</v>
      </c>
      <c r="D158" s="429">
        <f t="shared" si="60"/>
        <v>0</v>
      </c>
      <c r="E158" s="429">
        <f t="shared" si="60"/>
        <v>0</v>
      </c>
      <c r="F158" s="429">
        <f t="shared" si="60"/>
        <v>0</v>
      </c>
      <c r="G158" s="429">
        <f t="shared" si="60"/>
        <v>0</v>
      </c>
      <c r="H158" s="429">
        <f t="shared" si="60"/>
        <v>0</v>
      </c>
      <c r="I158" s="429">
        <f t="shared" si="60"/>
        <v>0</v>
      </c>
    </row>
    <row r="159" spans="1:9" hidden="1" x14ac:dyDescent="0.2">
      <c r="A159" s="316"/>
      <c r="B159" s="315"/>
      <c r="C159" s="340"/>
      <c r="D159" s="429"/>
      <c r="E159" s="429"/>
      <c r="F159" s="429"/>
      <c r="G159" s="429"/>
      <c r="H159" s="429"/>
      <c r="I159" s="429"/>
    </row>
    <row r="160" spans="1:9" x14ac:dyDescent="0.2">
      <c r="A160" s="316"/>
      <c r="B160" s="316"/>
      <c r="C160" s="316"/>
      <c r="D160" s="344"/>
      <c r="E160" s="344"/>
      <c r="F160" s="344"/>
      <c r="G160" s="344"/>
      <c r="H160" s="344"/>
      <c r="I160" s="344"/>
    </row>
    <row r="161" spans="1:9" x14ac:dyDescent="0.2">
      <c r="A161" s="334"/>
      <c r="B161" s="627" t="str">
        <f>+'Input Sheet'!B69</f>
        <v>Safflower</v>
      </c>
      <c r="C161" s="336"/>
      <c r="D161" s="427"/>
      <c r="E161" s="427"/>
      <c r="F161" s="427"/>
      <c r="G161" s="427"/>
      <c r="H161" s="427"/>
      <c r="I161" s="427"/>
    </row>
    <row r="162" spans="1:9" x14ac:dyDescent="0.2">
      <c r="A162" s="338" t="s">
        <v>167</v>
      </c>
      <c r="B162" s="315" t="str">
        <f>+A45</f>
        <v>Safflower Oil</v>
      </c>
      <c r="C162" s="332"/>
      <c r="D162" s="389"/>
      <c r="E162" s="389"/>
      <c r="F162" s="389"/>
      <c r="G162" s="389"/>
      <c r="H162" s="389"/>
      <c r="I162" s="389"/>
    </row>
    <row r="163" spans="1:9" x14ac:dyDescent="0.2">
      <c r="A163" s="316"/>
      <c r="B163" s="332" t="s">
        <v>662</v>
      </c>
      <c r="C163" s="339">
        <f t="shared" ref="C163:I163" si="61">+C344</f>
        <v>0</v>
      </c>
      <c r="D163" s="428">
        <f t="shared" si="61"/>
        <v>0</v>
      </c>
      <c r="E163" s="428">
        <f t="shared" si="61"/>
        <v>0</v>
      </c>
      <c r="F163" s="428">
        <f t="shared" si="61"/>
        <v>0</v>
      </c>
      <c r="G163" s="428">
        <f t="shared" si="61"/>
        <v>0</v>
      </c>
      <c r="H163" s="428">
        <f t="shared" si="61"/>
        <v>0</v>
      </c>
      <c r="I163" s="428">
        <f t="shared" si="61"/>
        <v>0</v>
      </c>
    </row>
    <row r="164" spans="1:9" x14ac:dyDescent="0.2">
      <c r="A164" s="316"/>
      <c r="B164" s="315" t="s">
        <v>663</v>
      </c>
      <c r="C164" s="340">
        <f>+C168+C172+C176+C180</f>
        <v>16.884555555555554</v>
      </c>
      <c r="D164" s="340">
        <f t="shared" ref="D164:I164" si="62">+D168+D172+D176+D180</f>
        <v>19.960166666666662</v>
      </c>
      <c r="E164" s="340">
        <f t="shared" si="62"/>
        <v>23.303472222222226</v>
      </c>
      <c r="F164" s="340">
        <f t="shared" si="62"/>
        <v>26.871879629629632</v>
      </c>
      <c r="G164" s="340">
        <f t="shared" si="62"/>
        <v>30.195805555555552</v>
      </c>
      <c r="H164" s="340">
        <f t="shared" si="62"/>
        <v>34.279263888888885</v>
      </c>
      <c r="I164" s="340">
        <f t="shared" si="62"/>
        <v>38.601240740740742</v>
      </c>
    </row>
    <row r="165" spans="1:9" x14ac:dyDescent="0.2">
      <c r="A165" s="316"/>
      <c r="B165" s="315"/>
      <c r="C165" s="340"/>
      <c r="D165" s="429"/>
      <c r="E165" s="429"/>
      <c r="F165" s="429"/>
      <c r="G165" s="429"/>
      <c r="H165" s="429"/>
      <c r="I165" s="429"/>
    </row>
    <row r="166" spans="1:9" x14ac:dyDescent="0.2">
      <c r="A166" s="316"/>
      <c r="B166" s="624" t="str">
        <f>+$B$243</f>
        <v>1 Ltr Bottle</v>
      </c>
      <c r="C166" s="340">
        <f>+C314</f>
        <v>3279.6296296296296</v>
      </c>
      <c r="D166" s="340">
        <f t="shared" ref="D166:I166" si="63">+D314</f>
        <v>3689.5833333333339</v>
      </c>
      <c r="E166" s="340">
        <f t="shared" si="63"/>
        <v>4099.5370370370374</v>
      </c>
      <c r="F166" s="340">
        <f t="shared" si="63"/>
        <v>4509.4907407407409</v>
      </c>
      <c r="G166" s="340">
        <f t="shared" si="63"/>
        <v>4919.4444444444443</v>
      </c>
      <c r="H166" s="340">
        <f t="shared" si="63"/>
        <v>5329.3981481481478</v>
      </c>
      <c r="I166" s="340">
        <f t="shared" si="63"/>
        <v>5739.3518518518522</v>
      </c>
    </row>
    <row r="167" spans="1:9" x14ac:dyDescent="0.2">
      <c r="A167" s="316"/>
      <c r="B167" s="332" t="s">
        <v>938</v>
      </c>
      <c r="C167" s="340">
        <f>+'Input Sheet'!C103</f>
        <v>165</v>
      </c>
      <c r="D167" s="340">
        <f>+'Input Sheet'!D103</f>
        <v>170</v>
      </c>
      <c r="E167" s="340">
        <f>+'Input Sheet'!E103</f>
        <v>180</v>
      </c>
      <c r="F167" s="340">
        <f>+'Input Sheet'!F103</f>
        <v>190</v>
      </c>
      <c r="G167" s="340">
        <f>+'Input Sheet'!G103</f>
        <v>200</v>
      </c>
      <c r="H167" s="340">
        <f>+'Input Sheet'!H103</f>
        <v>210</v>
      </c>
      <c r="I167" s="340">
        <f>+'Input Sheet'!I103</f>
        <v>220</v>
      </c>
    </row>
    <row r="168" spans="1:9" x14ac:dyDescent="0.2">
      <c r="A168" s="316"/>
      <c r="B168" s="315" t="s">
        <v>165</v>
      </c>
      <c r="C168" s="340">
        <f t="shared" ref="C168:I168" si="64">+C166*C167/100000</f>
        <v>5.4113888888888884</v>
      </c>
      <c r="D168" s="340">
        <f t="shared" si="64"/>
        <v>6.2722916666666677</v>
      </c>
      <c r="E168" s="340">
        <f t="shared" si="64"/>
        <v>7.3791666666666673</v>
      </c>
      <c r="F168" s="340">
        <f t="shared" si="64"/>
        <v>8.5680324074074079</v>
      </c>
      <c r="G168" s="340">
        <f t="shared" si="64"/>
        <v>9.8388888888888886</v>
      </c>
      <c r="H168" s="340">
        <f t="shared" si="64"/>
        <v>11.19173611111111</v>
      </c>
      <c r="I168" s="340">
        <f t="shared" si="64"/>
        <v>12.626574074074075</v>
      </c>
    </row>
    <row r="169" spans="1:9" x14ac:dyDescent="0.2">
      <c r="A169" s="316"/>
      <c r="B169" s="624"/>
      <c r="C169" s="340"/>
      <c r="D169" s="429"/>
      <c r="E169" s="429"/>
      <c r="F169" s="429"/>
      <c r="G169" s="429"/>
      <c r="H169" s="429"/>
      <c r="I169" s="429"/>
    </row>
    <row r="170" spans="1:9" x14ac:dyDescent="0.2">
      <c r="A170" s="316"/>
      <c r="B170" s="624" t="str">
        <f>+$B$249</f>
        <v>5 Ltr Bottle</v>
      </c>
      <c r="C170" s="340">
        <f>+C320</f>
        <v>536.66666666666663</v>
      </c>
      <c r="D170" s="340">
        <f t="shared" ref="D170:I170" si="65">+D320</f>
        <v>603.75</v>
      </c>
      <c r="E170" s="340">
        <f t="shared" si="65"/>
        <v>670.83333333333337</v>
      </c>
      <c r="F170" s="340">
        <f t="shared" si="65"/>
        <v>737.91666666666652</v>
      </c>
      <c r="G170" s="340">
        <f t="shared" si="65"/>
        <v>805</v>
      </c>
      <c r="H170" s="340">
        <f t="shared" si="65"/>
        <v>872.08333333333326</v>
      </c>
      <c r="I170" s="340">
        <f t="shared" si="65"/>
        <v>939.16666666666652</v>
      </c>
    </row>
    <row r="171" spans="1:9" x14ac:dyDescent="0.2">
      <c r="A171" s="316"/>
      <c r="B171" s="332" t="s">
        <v>938</v>
      </c>
      <c r="C171" s="340">
        <f>+'Input Sheet'!C104</f>
        <v>775</v>
      </c>
      <c r="D171" s="340">
        <f>+'Input Sheet'!D104</f>
        <v>810</v>
      </c>
      <c r="E171" s="340">
        <f>+'Input Sheet'!E104</f>
        <v>850</v>
      </c>
      <c r="F171" s="340">
        <f>+'Input Sheet'!F104</f>
        <v>890</v>
      </c>
      <c r="G171" s="340">
        <f>+'Input Sheet'!G104</f>
        <v>930</v>
      </c>
      <c r="H171" s="340">
        <f>+'Input Sheet'!H104</f>
        <v>980</v>
      </c>
      <c r="I171" s="340">
        <f>+'Input Sheet'!I104</f>
        <v>1030</v>
      </c>
    </row>
    <row r="172" spans="1:9" x14ac:dyDescent="0.2">
      <c r="A172" s="316"/>
      <c r="B172" s="315" t="s">
        <v>165</v>
      </c>
      <c r="C172" s="340">
        <f t="shared" ref="C172:I172" si="66">+C170*C171/100000</f>
        <v>4.1591666666666667</v>
      </c>
      <c r="D172" s="340">
        <f t="shared" si="66"/>
        <v>4.8903749999999997</v>
      </c>
      <c r="E172" s="340">
        <f t="shared" si="66"/>
        <v>5.7020833333333334</v>
      </c>
      <c r="F172" s="340">
        <f t="shared" si="66"/>
        <v>6.5674583333333327</v>
      </c>
      <c r="G172" s="340">
        <f t="shared" si="66"/>
        <v>7.4865000000000004</v>
      </c>
      <c r="H172" s="340">
        <f t="shared" si="66"/>
        <v>8.5464166666666657</v>
      </c>
      <c r="I172" s="340">
        <f t="shared" si="66"/>
        <v>9.6734166666666646</v>
      </c>
    </row>
    <row r="173" spans="1:9" x14ac:dyDescent="0.2">
      <c r="A173" s="316"/>
      <c r="B173" s="624"/>
      <c r="C173" s="340"/>
      <c r="D173" s="429"/>
      <c r="E173" s="429"/>
      <c r="F173" s="429"/>
      <c r="G173" s="429"/>
      <c r="H173" s="429"/>
      <c r="I173" s="429"/>
    </row>
    <row r="174" spans="1:9" x14ac:dyDescent="0.2">
      <c r="A174" s="316"/>
      <c r="B174" s="624" t="str">
        <f>+$B$255</f>
        <v>1Ltr Pouch</v>
      </c>
      <c r="C174" s="340">
        <f>+C258</f>
        <v>3577.7777777777774</v>
      </c>
      <c r="D174" s="340">
        <f t="shared" ref="D174:I174" si="67">+D258</f>
        <v>4024.9999999999991</v>
      </c>
      <c r="E174" s="340">
        <f t="shared" si="67"/>
        <v>4472.2222222222217</v>
      </c>
      <c r="F174" s="340">
        <f t="shared" si="67"/>
        <v>4919.4444444444443</v>
      </c>
      <c r="G174" s="340">
        <f t="shared" si="67"/>
        <v>5143.0555555555547</v>
      </c>
      <c r="H174" s="340">
        <f t="shared" si="67"/>
        <v>5590.2777777777774</v>
      </c>
      <c r="I174" s="340">
        <f t="shared" si="67"/>
        <v>6037.5</v>
      </c>
    </row>
    <row r="175" spans="1:9" x14ac:dyDescent="0.2">
      <c r="A175" s="316"/>
      <c r="B175" s="332" t="s">
        <v>938</v>
      </c>
      <c r="C175" s="340">
        <f>+'Input Sheet'!C105</f>
        <v>168</v>
      </c>
      <c r="D175" s="340">
        <f>+'Input Sheet'!D105</f>
        <v>180</v>
      </c>
      <c r="E175" s="340">
        <f>+'Input Sheet'!E105</f>
        <v>190</v>
      </c>
      <c r="F175" s="340">
        <f>+'Input Sheet'!F105</f>
        <v>200</v>
      </c>
      <c r="G175" s="340">
        <f>+'Input Sheet'!G105</f>
        <v>210</v>
      </c>
      <c r="H175" s="340">
        <f>+'Input Sheet'!H105</f>
        <v>220</v>
      </c>
      <c r="I175" s="340">
        <f>+'Input Sheet'!I105</f>
        <v>230</v>
      </c>
    </row>
    <row r="176" spans="1:9" x14ac:dyDescent="0.2">
      <c r="A176" s="316"/>
      <c r="B176" s="315" t="s">
        <v>165</v>
      </c>
      <c r="C176" s="340">
        <f t="shared" ref="C176:I176" si="68">+C174*C175/100000</f>
        <v>6.0106666666666664</v>
      </c>
      <c r="D176" s="340">
        <f t="shared" si="68"/>
        <v>7.2449999999999992</v>
      </c>
      <c r="E176" s="340">
        <f t="shared" si="68"/>
        <v>8.4972222222222218</v>
      </c>
      <c r="F176" s="340">
        <f t="shared" si="68"/>
        <v>9.8388888888888886</v>
      </c>
      <c r="G176" s="340">
        <f t="shared" si="68"/>
        <v>10.800416666666665</v>
      </c>
      <c r="H176" s="340">
        <f t="shared" si="68"/>
        <v>12.298611111111111</v>
      </c>
      <c r="I176" s="340">
        <f t="shared" si="68"/>
        <v>13.88625</v>
      </c>
    </row>
    <row r="177" spans="1:9" x14ac:dyDescent="0.2">
      <c r="A177" s="316"/>
      <c r="B177" s="624"/>
      <c r="C177" s="340"/>
      <c r="D177" s="429"/>
      <c r="E177" s="429"/>
      <c r="F177" s="429"/>
      <c r="G177" s="429"/>
      <c r="H177" s="429"/>
      <c r="I177" s="429"/>
    </row>
    <row r="178" spans="1:9" x14ac:dyDescent="0.2">
      <c r="A178" s="316"/>
      <c r="B178" s="624" t="str">
        <f>+$B$261</f>
        <v>500 ML Pouch</v>
      </c>
      <c r="C178" s="340">
        <f>+C332</f>
        <v>1533.333333333333</v>
      </c>
      <c r="D178" s="340">
        <f t="shared" ref="D178:I178" si="69">+D332</f>
        <v>1725</v>
      </c>
      <c r="E178" s="340">
        <f t="shared" si="69"/>
        <v>1916.6666666666665</v>
      </c>
      <c r="F178" s="340">
        <f t="shared" si="69"/>
        <v>2108.3333333333335</v>
      </c>
      <c r="G178" s="340">
        <f t="shared" si="69"/>
        <v>2299.9999999999995</v>
      </c>
      <c r="H178" s="340">
        <f t="shared" si="69"/>
        <v>2491.6666666666661</v>
      </c>
      <c r="I178" s="340">
        <f t="shared" si="69"/>
        <v>2683.3333333333335</v>
      </c>
    </row>
    <row r="179" spans="1:9" x14ac:dyDescent="0.2">
      <c r="A179" s="316"/>
      <c r="B179" s="332" t="s">
        <v>938</v>
      </c>
      <c r="C179" s="340">
        <f>+'Input Sheet'!C106</f>
        <v>85</v>
      </c>
      <c r="D179" s="340">
        <f>+'Input Sheet'!D106</f>
        <v>90</v>
      </c>
      <c r="E179" s="340">
        <f>+'Input Sheet'!E106</f>
        <v>90</v>
      </c>
      <c r="F179" s="340">
        <f>+'Input Sheet'!F106</f>
        <v>90</v>
      </c>
      <c r="G179" s="340">
        <f>+'Input Sheet'!G106</f>
        <v>90</v>
      </c>
      <c r="H179" s="340">
        <f>+'Input Sheet'!H106</f>
        <v>90</v>
      </c>
      <c r="I179" s="340">
        <f>+'Input Sheet'!I106</f>
        <v>90</v>
      </c>
    </row>
    <row r="180" spans="1:9" x14ac:dyDescent="0.2">
      <c r="A180" s="316"/>
      <c r="B180" s="315" t="s">
        <v>165</v>
      </c>
      <c r="C180" s="340">
        <f t="shared" ref="C180:I180" si="70">+C178*C179/100000</f>
        <v>1.3033333333333332</v>
      </c>
      <c r="D180" s="340">
        <f t="shared" si="70"/>
        <v>1.5525</v>
      </c>
      <c r="E180" s="340">
        <f t="shared" si="70"/>
        <v>1.7250000000000001</v>
      </c>
      <c r="F180" s="340">
        <f t="shared" si="70"/>
        <v>1.8975</v>
      </c>
      <c r="G180" s="340">
        <f t="shared" si="70"/>
        <v>2.0699999999999998</v>
      </c>
      <c r="H180" s="340">
        <f t="shared" si="70"/>
        <v>2.2424999999999993</v>
      </c>
      <c r="I180" s="340">
        <f t="shared" si="70"/>
        <v>2.415</v>
      </c>
    </row>
    <row r="181" spans="1:9" x14ac:dyDescent="0.2">
      <c r="A181" s="316"/>
      <c r="B181" s="315"/>
      <c r="C181" s="340"/>
      <c r="D181" s="429"/>
      <c r="E181" s="429"/>
      <c r="F181" s="429"/>
      <c r="G181" s="429"/>
      <c r="H181" s="429"/>
      <c r="I181" s="429"/>
    </row>
    <row r="182" spans="1:9" x14ac:dyDescent="0.2">
      <c r="A182" s="316"/>
      <c r="B182" s="316"/>
      <c r="C182" s="316"/>
      <c r="D182" s="344"/>
      <c r="E182" s="344"/>
      <c r="F182" s="344"/>
      <c r="G182" s="344"/>
      <c r="H182" s="344"/>
      <c r="I182" s="344"/>
    </row>
    <row r="183" spans="1:9" x14ac:dyDescent="0.2">
      <c r="A183" s="338" t="s">
        <v>168</v>
      </c>
      <c r="B183" s="315" t="str">
        <f>+A46</f>
        <v>Oil Cake</v>
      </c>
      <c r="C183" s="332">
        <f t="shared" ref="C183:I183" si="71">+C339</f>
        <v>44.325000000000003</v>
      </c>
      <c r="D183" s="389">
        <f t="shared" si="71"/>
        <v>49.25</v>
      </c>
      <c r="E183" s="389">
        <f t="shared" si="71"/>
        <v>53.175000000000004</v>
      </c>
      <c r="F183" s="389">
        <f t="shared" si="71"/>
        <v>58.100000000000009</v>
      </c>
      <c r="G183" s="389">
        <f t="shared" si="71"/>
        <v>63.025000000000013</v>
      </c>
      <c r="H183" s="389">
        <f t="shared" si="71"/>
        <v>67.950000000000017</v>
      </c>
      <c r="I183" s="389">
        <f t="shared" si="71"/>
        <v>72.875000000000028</v>
      </c>
    </row>
    <row r="184" spans="1:9" x14ac:dyDescent="0.2">
      <c r="A184" s="316"/>
      <c r="B184" s="332" t="s">
        <v>662</v>
      </c>
      <c r="C184" s="339">
        <f>+'Input Sheet'!C107</f>
        <v>20000</v>
      </c>
      <c r="D184" s="339">
        <f>+'Input Sheet'!D107</f>
        <v>21000</v>
      </c>
      <c r="E184" s="339">
        <f>+'Input Sheet'!E107</f>
        <v>22050</v>
      </c>
      <c r="F184" s="339">
        <f>+'Input Sheet'!F107</f>
        <v>23150</v>
      </c>
      <c r="G184" s="339">
        <f>+'Input Sheet'!G107</f>
        <v>24310</v>
      </c>
      <c r="H184" s="339">
        <f>+'Input Sheet'!H107</f>
        <v>25530</v>
      </c>
      <c r="I184" s="339">
        <f>+'Input Sheet'!I107</f>
        <v>26810</v>
      </c>
    </row>
    <row r="185" spans="1:9" x14ac:dyDescent="0.2">
      <c r="A185" s="316"/>
      <c r="B185" s="315" t="s">
        <v>663</v>
      </c>
      <c r="C185" s="340">
        <f t="shared" ref="C185:I185" si="72">C183*C184/100000</f>
        <v>8.8650000000000002</v>
      </c>
      <c r="D185" s="429">
        <f t="shared" si="72"/>
        <v>10.342499999999999</v>
      </c>
      <c r="E185" s="429">
        <f t="shared" si="72"/>
        <v>11.725087500000001</v>
      </c>
      <c r="F185" s="429">
        <f t="shared" si="72"/>
        <v>13.450150000000002</v>
      </c>
      <c r="G185" s="429">
        <f t="shared" si="72"/>
        <v>15.321377500000002</v>
      </c>
      <c r="H185" s="429">
        <f t="shared" si="72"/>
        <v>17.347635000000004</v>
      </c>
      <c r="I185" s="429">
        <f t="shared" si="72"/>
        <v>19.537787500000007</v>
      </c>
    </row>
    <row r="186" spans="1:9" x14ac:dyDescent="0.2">
      <c r="A186" s="316"/>
      <c r="B186" s="316"/>
      <c r="C186" s="316"/>
      <c r="D186" s="344"/>
      <c r="E186" s="344"/>
      <c r="F186" s="344"/>
      <c r="G186" s="344"/>
      <c r="H186" s="344"/>
      <c r="I186" s="344"/>
    </row>
    <row r="187" spans="1:9" x14ac:dyDescent="0.2">
      <c r="A187" s="334"/>
      <c r="B187" s="627" t="str">
        <f>+'Input Sheet'!B71</f>
        <v>Mustered</v>
      </c>
      <c r="C187" s="336"/>
      <c r="D187" s="427"/>
      <c r="E187" s="427"/>
      <c r="F187" s="427"/>
      <c r="G187" s="427"/>
      <c r="H187" s="427"/>
      <c r="I187" s="427"/>
    </row>
    <row r="188" spans="1:9" x14ac:dyDescent="0.2">
      <c r="A188" s="338" t="s">
        <v>167</v>
      </c>
      <c r="B188" s="315" t="str">
        <f>+A50</f>
        <v>Mustard  Oil</v>
      </c>
      <c r="C188" s="332">
        <v>0</v>
      </c>
      <c r="D188" s="332">
        <v>0</v>
      </c>
      <c r="E188" s="332">
        <v>0</v>
      </c>
      <c r="F188" s="332">
        <v>0</v>
      </c>
      <c r="G188" s="332">
        <v>0</v>
      </c>
      <c r="H188" s="332">
        <v>0</v>
      </c>
      <c r="I188" s="332">
        <v>0</v>
      </c>
    </row>
    <row r="189" spans="1:9" x14ac:dyDescent="0.2">
      <c r="A189" s="316"/>
      <c r="B189" s="332" t="s">
        <v>662</v>
      </c>
      <c r="C189" s="339">
        <f t="shared" ref="C189:I189" si="73">+C399</f>
        <v>0</v>
      </c>
      <c r="D189" s="428">
        <f t="shared" si="73"/>
        <v>0</v>
      </c>
      <c r="E189" s="428">
        <f t="shared" si="73"/>
        <v>0</v>
      </c>
      <c r="F189" s="428">
        <f t="shared" si="73"/>
        <v>0</v>
      </c>
      <c r="G189" s="428">
        <f t="shared" si="73"/>
        <v>0</v>
      </c>
      <c r="H189" s="428">
        <f t="shared" si="73"/>
        <v>0</v>
      </c>
      <c r="I189" s="428">
        <f t="shared" si="73"/>
        <v>0</v>
      </c>
    </row>
    <row r="190" spans="1:9" x14ac:dyDescent="0.2">
      <c r="A190" s="316"/>
      <c r="B190" s="315" t="s">
        <v>663</v>
      </c>
      <c r="C190" s="340">
        <f>+C194+C198+C202+C206</f>
        <v>71.872604166666662</v>
      </c>
      <c r="D190" s="340">
        <f t="shared" ref="D190:I190" si="74">+D194+D198+D202+D206</f>
        <v>83.172599999999989</v>
      </c>
      <c r="E190" s="340">
        <f t="shared" si="74"/>
        <v>96.564477777777796</v>
      </c>
      <c r="F190" s="340">
        <f t="shared" si="74"/>
        <v>112.35355185185183</v>
      </c>
      <c r="G190" s="340">
        <f t="shared" si="74"/>
        <v>127.78263333333334</v>
      </c>
      <c r="H190" s="340">
        <f t="shared" si="74"/>
        <v>144.21988148148148</v>
      </c>
      <c r="I190" s="340">
        <f t="shared" si="74"/>
        <v>163.94474537037036</v>
      </c>
    </row>
    <row r="191" spans="1:9" x14ac:dyDescent="0.2">
      <c r="A191" s="316"/>
      <c r="B191" s="315"/>
      <c r="C191" s="340"/>
      <c r="D191" s="429"/>
      <c r="E191" s="429"/>
      <c r="F191" s="429"/>
      <c r="G191" s="429"/>
      <c r="H191" s="429"/>
      <c r="I191" s="429"/>
    </row>
    <row r="192" spans="1:9" x14ac:dyDescent="0.2">
      <c r="A192" s="316"/>
      <c r="B192" s="624" t="str">
        <f>+$B$243</f>
        <v>1 Ltr Bottle</v>
      </c>
      <c r="C192" s="340">
        <f>+C369</f>
        <v>23367.361111111109</v>
      </c>
      <c r="D192" s="340">
        <f t="shared" ref="D192:I192" si="75">+D369</f>
        <v>25827.083333333328</v>
      </c>
      <c r="E192" s="340">
        <f t="shared" si="75"/>
        <v>28286.805555555555</v>
      </c>
      <c r="F192" s="340">
        <f t="shared" si="75"/>
        <v>31156.481481481482</v>
      </c>
      <c r="G192" s="340">
        <f t="shared" si="75"/>
        <v>33616.203703703708</v>
      </c>
      <c r="H192" s="340">
        <f t="shared" si="75"/>
        <v>36075.925925925927</v>
      </c>
      <c r="I192" s="340">
        <f t="shared" si="75"/>
        <v>38945.601851851854</v>
      </c>
    </row>
    <row r="193" spans="1:9" x14ac:dyDescent="0.2">
      <c r="A193" s="316"/>
      <c r="B193" s="332" t="s">
        <v>938</v>
      </c>
      <c r="C193" s="340">
        <f>+'Input Sheet'!C115</f>
        <v>145</v>
      </c>
      <c r="D193" s="340">
        <f>+'Input Sheet'!D115</f>
        <v>150</v>
      </c>
      <c r="E193" s="340">
        <f>+'Input Sheet'!E115</f>
        <v>160</v>
      </c>
      <c r="F193" s="340">
        <f>+'Input Sheet'!F115</f>
        <v>170</v>
      </c>
      <c r="G193" s="340">
        <f>+'Input Sheet'!G115</f>
        <v>180</v>
      </c>
      <c r="H193" s="340">
        <f>+'Input Sheet'!H115</f>
        <v>190</v>
      </c>
      <c r="I193" s="340">
        <f>+'Input Sheet'!I115</f>
        <v>200</v>
      </c>
    </row>
    <row r="194" spans="1:9" x14ac:dyDescent="0.2">
      <c r="A194" s="316"/>
      <c r="B194" s="315" t="s">
        <v>165</v>
      </c>
      <c r="C194" s="340">
        <f t="shared" ref="C194" si="76">+C192*C193/100000</f>
        <v>33.882673611111109</v>
      </c>
      <c r="D194" s="340">
        <f t="shared" ref="D194" si="77">+D192*D193/100000</f>
        <v>38.740624999999987</v>
      </c>
      <c r="E194" s="340">
        <f t="shared" ref="E194" si="78">+E192*E193/100000</f>
        <v>45.25888888888889</v>
      </c>
      <c r="F194" s="340">
        <f t="shared" ref="F194" si="79">+F192*F193/100000</f>
        <v>52.966018518518517</v>
      </c>
      <c r="G194" s="340">
        <f t="shared" ref="G194" si="80">+G192*G193/100000</f>
        <v>60.50916666666668</v>
      </c>
      <c r="H194" s="340">
        <f t="shared" ref="H194" si="81">+H192*H193/100000</f>
        <v>68.544259259259263</v>
      </c>
      <c r="I194" s="340">
        <f t="shared" ref="I194" si="82">+I192*I193/100000</f>
        <v>77.891203703703709</v>
      </c>
    </row>
    <row r="195" spans="1:9" x14ac:dyDescent="0.2">
      <c r="A195" s="316"/>
      <c r="B195" s="624"/>
      <c r="C195" s="340"/>
      <c r="D195" s="429"/>
      <c r="E195" s="429"/>
      <c r="F195" s="429"/>
      <c r="G195" s="429"/>
      <c r="H195" s="429"/>
      <c r="I195" s="429"/>
    </row>
    <row r="196" spans="1:9" x14ac:dyDescent="0.2">
      <c r="A196" s="316"/>
      <c r="B196" s="624" t="str">
        <f>+$B$249</f>
        <v>5 Ltr Bottle</v>
      </c>
      <c r="C196" s="340">
        <f>+C375</f>
        <v>3823.75</v>
      </c>
      <c r="D196" s="340">
        <f t="shared" ref="D196:I196" si="83">+D375</f>
        <v>4226.2499999999991</v>
      </c>
      <c r="E196" s="340">
        <f t="shared" si="83"/>
        <v>4628.75</v>
      </c>
      <c r="F196" s="340">
        <f t="shared" si="83"/>
        <v>5098.333333333333</v>
      </c>
      <c r="G196" s="340">
        <f t="shared" si="83"/>
        <v>5500.8333333333339</v>
      </c>
      <c r="H196" s="340">
        <f t="shared" si="83"/>
        <v>5903.3333333333321</v>
      </c>
      <c r="I196" s="340">
        <f t="shared" si="83"/>
        <v>6372.916666666667</v>
      </c>
    </row>
    <row r="197" spans="1:9" x14ac:dyDescent="0.2">
      <c r="A197" s="316"/>
      <c r="B197" s="332" t="s">
        <v>938</v>
      </c>
      <c r="C197" s="340">
        <f>+'Input Sheet'!C116</f>
        <v>710</v>
      </c>
      <c r="D197" s="340">
        <f>+'Input Sheet'!D116</f>
        <v>750</v>
      </c>
      <c r="E197" s="340">
        <f>+'Input Sheet'!E116</f>
        <v>790</v>
      </c>
      <c r="F197" s="340">
        <f>+'Input Sheet'!F116</f>
        <v>830</v>
      </c>
      <c r="G197" s="340">
        <f>+'Input Sheet'!G116</f>
        <v>870</v>
      </c>
      <c r="H197" s="340">
        <f>+'Input Sheet'!H116</f>
        <v>910</v>
      </c>
      <c r="I197" s="340">
        <f>+'Input Sheet'!I116</f>
        <v>960</v>
      </c>
    </row>
    <row r="198" spans="1:9" x14ac:dyDescent="0.2">
      <c r="A198" s="316"/>
      <c r="B198" s="315" t="s">
        <v>165</v>
      </c>
      <c r="C198" s="340">
        <f t="shared" ref="C198" si="84">+C196*C197/100000</f>
        <v>27.148624999999999</v>
      </c>
      <c r="D198" s="340">
        <f t="shared" ref="D198" si="85">+D196*D197/100000</f>
        <v>31.696874999999995</v>
      </c>
      <c r="E198" s="340">
        <f t="shared" ref="E198" si="86">+E196*E197/100000</f>
        <v>36.567124999999997</v>
      </c>
      <c r="F198" s="340">
        <f t="shared" ref="F198" si="87">+F196*F197/100000</f>
        <v>42.31616666666666</v>
      </c>
      <c r="G198" s="340">
        <f t="shared" ref="G198" si="88">+G196*G197/100000</f>
        <v>47.857250000000008</v>
      </c>
      <c r="H198" s="340">
        <f t="shared" ref="H198" si="89">+H196*H197/100000</f>
        <v>53.720333333333322</v>
      </c>
      <c r="I198" s="340">
        <f t="shared" ref="I198" si="90">+I196*I197/100000</f>
        <v>61.18</v>
      </c>
    </row>
    <row r="199" spans="1:9" x14ac:dyDescent="0.2">
      <c r="A199" s="316"/>
      <c r="B199" s="624"/>
      <c r="C199" s="340"/>
      <c r="D199" s="429"/>
      <c r="E199" s="429"/>
      <c r="F199" s="429"/>
      <c r="G199" s="429"/>
      <c r="H199" s="429"/>
      <c r="I199" s="429"/>
    </row>
    <row r="200" spans="1:9" x14ac:dyDescent="0.2">
      <c r="A200" s="316"/>
      <c r="B200" s="624" t="str">
        <f>+$B$255</f>
        <v>1Ltr Pouch</v>
      </c>
      <c r="C200" s="340">
        <f>+C326</f>
        <v>1788.8888888888887</v>
      </c>
      <c r="D200" s="340">
        <f t="shared" ref="D200:I200" si="91">+D326</f>
        <v>2012.4999999999995</v>
      </c>
      <c r="E200" s="340">
        <f t="shared" si="91"/>
        <v>2236.1111111111109</v>
      </c>
      <c r="F200" s="340">
        <f t="shared" si="91"/>
        <v>2459.7222222222222</v>
      </c>
      <c r="G200" s="340">
        <f t="shared" si="91"/>
        <v>2683.333333333333</v>
      </c>
      <c r="H200" s="340">
        <f t="shared" si="91"/>
        <v>2906.9444444444443</v>
      </c>
      <c r="I200" s="340">
        <f t="shared" si="91"/>
        <v>3130.5555555555557</v>
      </c>
    </row>
    <row r="201" spans="1:9" x14ac:dyDescent="0.2">
      <c r="A201" s="316"/>
      <c r="B201" s="332" t="s">
        <v>938</v>
      </c>
      <c r="C201" s="340">
        <f>+'Input Sheet'!C117</f>
        <v>148</v>
      </c>
      <c r="D201" s="340">
        <f>+'Input Sheet'!D117</f>
        <v>160</v>
      </c>
      <c r="E201" s="340">
        <f>+'Input Sheet'!E117</f>
        <v>170</v>
      </c>
      <c r="F201" s="340">
        <f>+'Input Sheet'!F117</f>
        <v>180</v>
      </c>
      <c r="G201" s="340">
        <f>+'Input Sheet'!G117</f>
        <v>190</v>
      </c>
      <c r="H201" s="340">
        <f>+'Input Sheet'!H117</f>
        <v>200</v>
      </c>
      <c r="I201" s="340">
        <f>+'Input Sheet'!I117</f>
        <v>210</v>
      </c>
    </row>
    <row r="202" spans="1:9" x14ac:dyDescent="0.2">
      <c r="A202" s="316"/>
      <c r="B202" s="315" t="s">
        <v>165</v>
      </c>
      <c r="C202" s="340">
        <f t="shared" ref="C202" si="92">+C200*C201/100000</f>
        <v>2.647555555555555</v>
      </c>
      <c r="D202" s="340">
        <f t="shared" ref="D202" si="93">+D200*D201/100000</f>
        <v>3.2199999999999993</v>
      </c>
      <c r="E202" s="340">
        <f t="shared" ref="E202" si="94">+E200*E201/100000</f>
        <v>3.801388888888888</v>
      </c>
      <c r="F202" s="340">
        <f t="shared" ref="F202" si="95">+F200*F201/100000</f>
        <v>4.4275000000000002</v>
      </c>
      <c r="G202" s="340">
        <f t="shared" ref="G202" si="96">+G200*G201/100000</f>
        <v>5.0983333333333327</v>
      </c>
      <c r="H202" s="340">
        <f t="shared" ref="H202" si="97">+H200*H201/100000</f>
        <v>5.8138888888888891</v>
      </c>
      <c r="I202" s="340">
        <f t="shared" ref="I202" si="98">+I200*I201/100000</f>
        <v>6.5741666666666676</v>
      </c>
    </row>
    <row r="203" spans="1:9" x14ac:dyDescent="0.2">
      <c r="A203" s="316"/>
      <c r="B203" s="624"/>
      <c r="C203" s="340"/>
      <c r="D203" s="429"/>
      <c r="E203" s="429"/>
      <c r="F203" s="429"/>
      <c r="G203" s="429"/>
      <c r="H203" s="429"/>
      <c r="I203" s="429"/>
    </row>
    <row r="204" spans="1:9" x14ac:dyDescent="0.2">
      <c r="A204" s="316"/>
      <c r="B204" s="624" t="str">
        <f>+$B$261</f>
        <v>500 ML Pouch</v>
      </c>
      <c r="C204" s="340">
        <f>+C387</f>
        <v>10924.999999999998</v>
      </c>
      <c r="D204" s="340">
        <f t="shared" ref="D204:I204" si="99">+D387</f>
        <v>12074.999999999998</v>
      </c>
      <c r="E204" s="340">
        <f t="shared" si="99"/>
        <v>13225</v>
      </c>
      <c r="F204" s="340">
        <f t="shared" si="99"/>
        <v>14566.666666666664</v>
      </c>
      <c r="G204" s="340">
        <f t="shared" si="99"/>
        <v>15716.666666666662</v>
      </c>
      <c r="H204" s="340">
        <f t="shared" si="99"/>
        <v>16866.666666666664</v>
      </c>
      <c r="I204" s="340">
        <f t="shared" si="99"/>
        <v>18208.333333333328</v>
      </c>
    </row>
    <row r="205" spans="1:9" x14ac:dyDescent="0.2">
      <c r="A205" s="316"/>
      <c r="B205" s="332" t="s">
        <v>938</v>
      </c>
      <c r="C205" s="340">
        <f>+'Input Sheet'!C118</f>
        <v>75</v>
      </c>
      <c r="D205" s="340">
        <f>+'Input Sheet'!D118</f>
        <v>78.8</v>
      </c>
      <c r="E205" s="340">
        <f>+'Input Sheet'!E118</f>
        <v>82.7</v>
      </c>
      <c r="F205" s="340">
        <f>+'Input Sheet'!F118</f>
        <v>86.8</v>
      </c>
      <c r="G205" s="340">
        <f>+'Input Sheet'!G118</f>
        <v>91.1</v>
      </c>
      <c r="H205" s="340">
        <f>+'Input Sheet'!H118</f>
        <v>95.7</v>
      </c>
      <c r="I205" s="340">
        <f>+'Input Sheet'!I118</f>
        <v>100.5</v>
      </c>
    </row>
    <row r="206" spans="1:9" x14ac:dyDescent="0.2">
      <c r="A206" s="316"/>
      <c r="B206" s="315" t="s">
        <v>165</v>
      </c>
      <c r="C206" s="340">
        <f t="shared" ref="C206" si="100">+C204*C205/100000</f>
        <v>8.1937499999999996</v>
      </c>
      <c r="D206" s="340">
        <f t="shared" ref="D206" si="101">+D204*D205/100000</f>
        <v>9.5150999999999986</v>
      </c>
      <c r="E206" s="340">
        <f t="shared" ref="E206" si="102">+E204*E205/100000</f>
        <v>10.937075</v>
      </c>
      <c r="F206" s="340">
        <f t="shared" ref="F206" si="103">+F204*F205/100000</f>
        <v>12.643866666666666</v>
      </c>
      <c r="G206" s="340">
        <f t="shared" ref="G206" si="104">+G204*G205/100000</f>
        <v>14.317883333333327</v>
      </c>
      <c r="H206" s="340">
        <f t="shared" ref="H206" si="105">+H204*H205/100000</f>
        <v>16.141399999999997</v>
      </c>
      <c r="I206" s="340">
        <f t="shared" ref="I206" si="106">+I204*I205/100000</f>
        <v>18.299374999999994</v>
      </c>
    </row>
    <row r="207" spans="1:9" x14ac:dyDescent="0.2">
      <c r="A207" s="316"/>
      <c r="B207" s="315"/>
      <c r="C207" s="340"/>
      <c r="D207" s="429"/>
      <c r="E207" s="429"/>
      <c r="F207" s="429"/>
      <c r="G207" s="429"/>
      <c r="H207" s="429"/>
      <c r="I207" s="429"/>
    </row>
    <row r="208" spans="1:9" x14ac:dyDescent="0.2">
      <c r="A208" s="316"/>
      <c r="B208" s="316"/>
      <c r="C208" s="316"/>
      <c r="D208" s="344"/>
      <c r="E208" s="344"/>
      <c r="F208" s="344"/>
      <c r="G208" s="344"/>
      <c r="H208" s="344"/>
      <c r="I208" s="344"/>
    </row>
    <row r="209" spans="1:9" x14ac:dyDescent="0.2">
      <c r="A209" s="338" t="s">
        <v>168</v>
      </c>
      <c r="B209" s="317" t="str">
        <f>+'Input Sheet'!B120</f>
        <v>Oil Cake</v>
      </c>
      <c r="C209" s="621">
        <f>+C393</f>
        <v>307.27499999999998</v>
      </c>
      <c r="D209" s="621">
        <f t="shared" ref="D209:I209" si="107">+D393</f>
        <v>341.75</v>
      </c>
      <c r="E209" s="621">
        <f t="shared" si="107"/>
        <v>375.22500000000002</v>
      </c>
      <c r="F209" s="621">
        <f t="shared" si="107"/>
        <v>409.70000000000005</v>
      </c>
      <c r="G209" s="621">
        <f t="shared" si="107"/>
        <v>443.17500000000007</v>
      </c>
      <c r="H209" s="621">
        <f t="shared" si="107"/>
        <v>477.65000000000003</v>
      </c>
      <c r="I209" s="621">
        <f t="shared" si="107"/>
        <v>512.125</v>
      </c>
    </row>
    <row r="210" spans="1:9" x14ac:dyDescent="0.2">
      <c r="A210" s="316"/>
      <c r="B210" s="332" t="s">
        <v>662</v>
      </c>
      <c r="C210" s="344">
        <f>+'Input Sheet'!C120</f>
        <v>23500</v>
      </c>
      <c r="D210" s="344">
        <f>+'Input Sheet'!D120</f>
        <v>24680</v>
      </c>
      <c r="E210" s="344">
        <f>+'Input Sheet'!E120</f>
        <v>25910</v>
      </c>
      <c r="F210" s="344">
        <f>+'Input Sheet'!F120</f>
        <v>27210</v>
      </c>
      <c r="G210" s="344">
        <f>+'Input Sheet'!G120</f>
        <v>28570</v>
      </c>
      <c r="H210" s="344">
        <f>+'Input Sheet'!H120</f>
        <v>30000</v>
      </c>
      <c r="I210" s="344">
        <f>+'Input Sheet'!I120</f>
        <v>31500</v>
      </c>
    </row>
    <row r="211" spans="1:9" x14ac:dyDescent="0.2">
      <c r="A211" s="316"/>
      <c r="B211" s="315" t="s">
        <v>663</v>
      </c>
      <c r="C211" s="340">
        <f t="shared" ref="C211:I211" si="108">C209*C210/100000</f>
        <v>72.209624999999988</v>
      </c>
      <c r="D211" s="340">
        <f t="shared" si="108"/>
        <v>84.343900000000005</v>
      </c>
      <c r="E211" s="340">
        <f t="shared" si="108"/>
        <v>97.220797500000003</v>
      </c>
      <c r="F211" s="340">
        <f t="shared" si="108"/>
        <v>111.47937000000002</v>
      </c>
      <c r="G211" s="340">
        <f t="shared" si="108"/>
        <v>126.61509750000002</v>
      </c>
      <c r="H211" s="340">
        <f t="shared" si="108"/>
        <v>143.29500000000002</v>
      </c>
      <c r="I211" s="340">
        <f t="shared" si="108"/>
        <v>161.31937500000001</v>
      </c>
    </row>
    <row r="212" spans="1:9" hidden="1" x14ac:dyDescent="0.2">
      <c r="A212" s="316"/>
      <c r="B212" s="315"/>
      <c r="C212" s="316"/>
      <c r="D212" s="344"/>
      <c r="E212" s="344"/>
      <c r="F212" s="344"/>
      <c r="G212" s="344"/>
      <c r="H212" s="344"/>
      <c r="I212" s="344"/>
    </row>
    <row r="213" spans="1:9" hidden="1" x14ac:dyDescent="0.2">
      <c r="A213" s="316"/>
      <c r="B213" s="315"/>
      <c r="C213" s="316"/>
      <c r="D213" s="344"/>
      <c r="E213" s="344"/>
      <c r="F213" s="344"/>
      <c r="G213" s="344"/>
      <c r="H213" s="344"/>
      <c r="I213" s="344"/>
    </row>
    <row r="214" spans="1:9" hidden="1" x14ac:dyDescent="0.2">
      <c r="A214" s="334"/>
      <c r="B214" s="337" t="str">
        <f>+'Input Sheet'!B72</f>
        <v>Tomato</v>
      </c>
      <c r="C214" s="336"/>
      <c r="D214" s="427"/>
      <c r="E214" s="427"/>
      <c r="F214" s="427"/>
      <c r="G214" s="427"/>
      <c r="H214" s="427"/>
      <c r="I214" s="427"/>
    </row>
    <row r="215" spans="1:9" hidden="1" x14ac:dyDescent="0.2">
      <c r="A215" s="338" t="s">
        <v>167</v>
      </c>
      <c r="B215" s="315" t="str">
        <f>+A55</f>
        <v>Grade 1</v>
      </c>
      <c r="C215" s="332">
        <f t="shared" ref="C215:I215" si="109">+C419</f>
        <v>0</v>
      </c>
      <c r="D215" s="389">
        <f t="shared" si="109"/>
        <v>0</v>
      </c>
      <c r="E215" s="389">
        <f t="shared" si="109"/>
        <v>0</v>
      </c>
      <c r="F215" s="389">
        <f t="shared" si="109"/>
        <v>0</v>
      </c>
      <c r="G215" s="389">
        <f t="shared" si="109"/>
        <v>0</v>
      </c>
      <c r="H215" s="389">
        <f t="shared" si="109"/>
        <v>0</v>
      </c>
      <c r="I215" s="389">
        <f t="shared" si="109"/>
        <v>0</v>
      </c>
    </row>
    <row r="216" spans="1:9" hidden="1" x14ac:dyDescent="0.2">
      <c r="A216" s="316"/>
      <c r="B216" s="332" t="s">
        <v>662</v>
      </c>
      <c r="C216" s="339">
        <f t="shared" ref="C216:I216" si="110">+C435</f>
        <v>0</v>
      </c>
      <c r="D216" s="428">
        <f t="shared" si="110"/>
        <v>0</v>
      </c>
      <c r="E216" s="428">
        <f t="shared" si="110"/>
        <v>0</v>
      </c>
      <c r="F216" s="428">
        <f t="shared" si="110"/>
        <v>0</v>
      </c>
      <c r="G216" s="428">
        <f t="shared" si="110"/>
        <v>0</v>
      </c>
      <c r="H216" s="428">
        <f t="shared" si="110"/>
        <v>0</v>
      </c>
      <c r="I216" s="428">
        <f t="shared" si="110"/>
        <v>0</v>
      </c>
    </row>
    <row r="217" spans="1:9" hidden="1" x14ac:dyDescent="0.2">
      <c r="A217" s="316"/>
      <c r="B217" s="315" t="s">
        <v>663</v>
      </c>
      <c r="C217" s="340">
        <f t="shared" ref="C217:I217" si="111">C215*C216/100000</f>
        <v>0</v>
      </c>
      <c r="D217" s="429">
        <f t="shared" si="111"/>
        <v>0</v>
      </c>
      <c r="E217" s="429">
        <f t="shared" si="111"/>
        <v>0</v>
      </c>
      <c r="F217" s="429">
        <f t="shared" si="111"/>
        <v>0</v>
      </c>
      <c r="G217" s="429">
        <f t="shared" si="111"/>
        <v>0</v>
      </c>
      <c r="H217" s="429">
        <f t="shared" si="111"/>
        <v>0</v>
      </c>
      <c r="I217" s="429">
        <f t="shared" si="111"/>
        <v>0</v>
      </c>
    </row>
    <row r="218" spans="1:9" hidden="1" x14ac:dyDescent="0.2">
      <c r="A218" s="316"/>
      <c r="B218" s="316"/>
      <c r="C218" s="316"/>
      <c r="D218" s="344"/>
      <c r="E218" s="344"/>
      <c r="F218" s="344"/>
      <c r="G218" s="344"/>
      <c r="H218" s="344"/>
      <c r="I218" s="344"/>
    </row>
    <row r="219" spans="1:9" hidden="1" x14ac:dyDescent="0.2">
      <c r="A219" s="338" t="s">
        <v>168</v>
      </c>
      <c r="B219" s="315" t="str">
        <f>+A56</f>
        <v>Grade 2</v>
      </c>
      <c r="C219" s="332">
        <f t="shared" ref="C219:I219" si="112">+C425</f>
        <v>0</v>
      </c>
      <c r="D219" s="389">
        <f t="shared" si="112"/>
        <v>0</v>
      </c>
      <c r="E219" s="389">
        <f t="shared" si="112"/>
        <v>0</v>
      </c>
      <c r="F219" s="389">
        <f t="shared" si="112"/>
        <v>0</v>
      </c>
      <c r="G219" s="389">
        <f t="shared" si="112"/>
        <v>0</v>
      </c>
      <c r="H219" s="389">
        <f t="shared" si="112"/>
        <v>0</v>
      </c>
      <c r="I219" s="389">
        <f t="shared" si="112"/>
        <v>0</v>
      </c>
    </row>
    <row r="220" spans="1:9" hidden="1" x14ac:dyDescent="0.2">
      <c r="A220" s="316"/>
      <c r="B220" s="332" t="s">
        <v>662</v>
      </c>
      <c r="C220" s="339">
        <f t="shared" ref="C220:I220" si="113">+C436</f>
        <v>0</v>
      </c>
      <c r="D220" s="428">
        <f t="shared" si="113"/>
        <v>0</v>
      </c>
      <c r="E220" s="428">
        <f t="shared" si="113"/>
        <v>0</v>
      </c>
      <c r="F220" s="428">
        <f t="shared" si="113"/>
        <v>0</v>
      </c>
      <c r="G220" s="428">
        <f t="shared" si="113"/>
        <v>0</v>
      </c>
      <c r="H220" s="428">
        <f t="shared" si="113"/>
        <v>0</v>
      </c>
      <c r="I220" s="428">
        <f t="shared" si="113"/>
        <v>0</v>
      </c>
    </row>
    <row r="221" spans="1:9" hidden="1" x14ac:dyDescent="0.2">
      <c r="A221" s="316"/>
      <c r="B221" s="315" t="s">
        <v>663</v>
      </c>
      <c r="C221" s="340">
        <f t="shared" ref="C221:I221" si="114">C219*C220/100000</f>
        <v>0</v>
      </c>
      <c r="D221" s="429">
        <f t="shared" si="114"/>
        <v>0</v>
      </c>
      <c r="E221" s="429">
        <f t="shared" si="114"/>
        <v>0</v>
      </c>
      <c r="F221" s="429">
        <f t="shared" si="114"/>
        <v>0</v>
      </c>
      <c r="G221" s="429">
        <f t="shared" si="114"/>
        <v>0</v>
      </c>
      <c r="H221" s="429">
        <f t="shared" si="114"/>
        <v>0</v>
      </c>
      <c r="I221" s="429">
        <f t="shared" si="114"/>
        <v>0</v>
      </c>
    </row>
    <row r="222" spans="1:9" hidden="1" x14ac:dyDescent="0.2">
      <c r="A222" s="316"/>
      <c r="B222" s="316"/>
      <c r="C222" s="316"/>
      <c r="D222" s="344"/>
      <c r="E222" s="344"/>
      <c r="F222" s="344"/>
      <c r="G222" s="344"/>
      <c r="H222" s="344"/>
      <c r="I222" s="344"/>
    </row>
    <row r="223" spans="1:9" hidden="1" x14ac:dyDescent="0.2">
      <c r="A223" s="338" t="s">
        <v>169</v>
      </c>
      <c r="B223" s="315" t="str">
        <f>+A57</f>
        <v>Animal Feed</v>
      </c>
      <c r="C223" s="332">
        <f t="shared" ref="C223:I223" si="115">+C431</f>
        <v>0</v>
      </c>
      <c r="D223" s="389">
        <f t="shared" si="115"/>
        <v>0</v>
      </c>
      <c r="E223" s="389">
        <f t="shared" si="115"/>
        <v>0</v>
      </c>
      <c r="F223" s="389">
        <f t="shared" si="115"/>
        <v>0</v>
      </c>
      <c r="G223" s="389">
        <f t="shared" si="115"/>
        <v>0</v>
      </c>
      <c r="H223" s="389">
        <f t="shared" si="115"/>
        <v>0</v>
      </c>
      <c r="I223" s="389">
        <f t="shared" si="115"/>
        <v>0</v>
      </c>
    </row>
    <row r="224" spans="1:9" hidden="1" x14ac:dyDescent="0.2">
      <c r="A224" s="316"/>
      <c r="B224" s="332" t="s">
        <v>662</v>
      </c>
      <c r="C224" s="339">
        <f t="shared" ref="C224:I224" si="116">+C437</f>
        <v>0</v>
      </c>
      <c r="D224" s="428">
        <f t="shared" si="116"/>
        <v>0</v>
      </c>
      <c r="E224" s="428">
        <f t="shared" si="116"/>
        <v>0</v>
      </c>
      <c r="F224" s="428">
        <f t="shared" si="116"/>
        <v>0</v>
      </c>
      <c r="G224" s="428">
        <f t="shared" si="116"/>
        <v>0</v>
      </c>
      <c r="H224" s="428">
        <f t="shared" si="116"/>
        <v>0</v>
      </c>
      <c r="I224" s="428">
        <f t="shared" si="116"/>
        <v>0</v>
      </c>
    </row>
    <row r="225" spans="1:10" hidden="1" x14ac:dyDescent="0.2">
      <c r="A225" s="316"/>
      <c r="B225" s="315" t="s">
        <v>663</v>
      </c>
      <c r="C225" s="340">
        <f t="shared" ref="C225:I225" si="117">C223*C224/100000</f>
        <v>0</v>
      </c>
      <c r="D225" s="429">
        <f t="shared" si="117"/>
        <v>0</v>
      </c>
      <c r="E225" s="429">
        <f t="shared" si="117"/>
        <v>0</v>
      </c>
      <c r="F225" s="429">
        <f t="shared" si="117"/>
        <v>0</v>
      </c>
      <c r="G225" s="429">
        <f t="shared" si="117"/>
        <v>0</v>
      </c>
      <c r="H225" s="429">
        <f t="shared" si="117"/>
        <v>0</v>
      </c>
      <c r="I225" s="429">
        <f t="shared" si="117"/>
        <v>0</v>
      </c>
    </row>
    <row r="226" spans="1:10" hidden="1" x14ac:dyDescent="0.2">
      <c r="A226" s="316"/>
      <c r="B226" s="315"/>
      <c r="C226" s="340"/>
      <c r="D226" s="429"/>
      <c r="E226" s="429"/>
      <c r="F226" s="429"/>
      <c r="G226" s="429"/>
      <c r="H226" s="429"/>
      <c r="I226" s="429"/>
    </row>
    <row r="227" spans="1:10" hidden="1" x14ac:dyDescent="0.2">
      <c r="A227" s="334"/>
      <c r="B227" s="337" t="str">
        <f>+'Input Sheet'!B73</f>
        <v>Chilli</v>
      </c>
      <c r="C227" s="336"/>
      <c r="D227" s="427"/>
      <c r="E227" s="427"/>
      <c r="F227" s="427"/>
      <c r="G227" s="427"/>
      <c r="H227" s="427"/>
      <c r="I227" s="427"/>
    </row>
    <row r="228" spans="1:10" hidden="1" x14ac:dyDescent="0.2">
      <c r="A228" s="338" t="s">
        <v>167</v>
      </c>
      <c r="B228" s="315" t="str">
        <f>+A60</f>
        <v>Green Chilli</v>
      </c>
      <c r="C228" s="332">
        <f t="shared" ref="C228:I228" si="118">+C455</f>
        <v>0</v>
      </c>
      <c r="D228" s="389">
        <f t="shared" si="118"/>
        <v>0</v>
      </c>
      <c r="E228" s="389">
        <f t="shared" si="118"/>
        <v>0</v>
      </c>
      <c r="F228" s="389">
        <f t="shared" si="118"/>
        <v>0</v>
      </c>
      <c r="G228" s="389">
        <f t="shared" si="118"/>
        <v>0</v>
      </c>
      <c r="H228" s="389">
        <f t="shared" si="118"/>
        <v>0</v>
      </c>
      <c r="I228" s="389">
        <f t="shared" si="118"/>
        <v>0</v>
      </c>
    </row>
    <row r="229" spans="1:10" hidden="1" x14ac:dyDescent="0.2">
      <c r="A229" s="316"/>
      <c r="B229" s="332" t="s">
        <v>662</v>
      </c>
      <c r="C229" s="339">
        <f t="shared" ref="C229:I229" si="119">+C465</f>
        <v>0</v>
      </c>
      <c r="D229" s="428">
        <f t="shared" si="119"/>
        <v>0</v>
      </c>
      <c r="E229" s="428">
        <f t="shared" si="119"/>
        <v>0</v>
      </c>
      <c r="F229" s="428">
        <f t="shared" si="119"/>
        <v>0</v>
      </c>
      <c r="G229" s="428">
        <f t="shared" si="119"/>
        <v>0</v>
      </c>
      <c r="H229" s="428">
        <f t="shared" si="119"/>
        <v>0</v>
      </c>
      <c r="I229" s="428">
        <f t="shared" si="119"/>
        <v>0</v>
      </c>
    </row>
    <row r="230" spans="1:10" hidden="1" x14ac:dyDescent="0.2">
      <c r="A230" s="316"/>
      <c r="B230" s="315" t="s">
        <v>663</v>
      </c>
      <c r="C230" s="340">
        <f t="shared" ref="C230:I230" si="120">C228*C229/100000</f>
        <v>0</v>
      </c>
      <c r="D230" s="429">
        <f t="shared" si="120"/>
        <v>0</v>
      </c>
      <c r="E230" s="429">
        <f t="shared" si="120"/>
        <v>0</v>
      </c>
      <c r="F230" s="429">
        <f t="shared" si="120"/>
        <v>0</v>
      </c>
      <c r="G230" s="429">
        <f t="shared" si="120"/>
        <v>0</v>
      </c>
      <c r="H230" s="429">
        <f t="shared" si="120"/>
        <v>0</v>
      </c>
      <c r="I230" s="429">
        <f t="shared" si="120"/>
        <v>0</v>
      </c>
    </row>
    <row r="231" spans="1:10" hidden="1" x14ac:dyDescent="0.2">
      <c r="A231" s="316"/>
      <c r="B231" s="315"/>
      <c r="C231" s="340"/>
      <c r="D231" s="429"/>
      <c r="E231" s="429"/>
      <c r="F231" s="429"/>
      <c r="G231" s="429"/>
      <c r="H231" s="429"/>
      <c r="I231" s="429"/>
    </row>
    <row r="232" spans="1:10" hidden="1" x14ac:dyDescent="0.2">
      <c r="A232" s="317" t="s">
        <v>168</v>
      </c>
      <c r="B232" s="315" t="str">
        <f>+A61</f>
        <v>Red Chilli</v>
      </c>
      <c r="C232" s="332">
        <f t="shared" ref="C232:I232" si="121">+C461</f>
        <v>0</v>
      </c>
      <c r="D232" s="389">
        <f t="shared" si="121"/>
        <v>0</v>
      </c>
      <c r="E232" s="389">
        <f t="shared" si="121"/>
        <v>0</v>
      </c>
      <c r="F232" s="389">
        <f t="shared" si="121"/>
        <v>0</v>
      </c>
      <c r="G232" s="389">
        <f t="shared" si="121"/>
        <v>0</v>
      </c>
      <c r="H232" s="389">
        <f t="shared" si="121"/>
        <v>0</v>
      </c>
      <c r="I232" s="389">
        <f t="shared" si="121"/>
        <v>0</v>
      </c>
    </row>
    <row r="233" spans="1:10" hidden="1" x14ac:dyDescent="0.2">
      <c r="A233" s="316"/>
      <c r="B233" s="332" t="s">
        <v>662</v>
      </c>
      <c r="C233" s="339">
        <f t="shared" ref="C233:I233" si="122">+C466</f>
        <v>0</v>
      </c>
      <c r="D233" s="428">
        <f t="shared" si="122"/>
        <v>0</v>
      </c>
      <c r="E233" s="428">
        <f t="shared" si="122"/>
        <v>0</v>
      </c>
      <c r="F233" s="428">
        <f t="shared" si="122"/>
        <v>0</v>
      </c>
      <c r="G233" s="428">
        <f t="shared" si="122"/>
        <v>0</v>
      </c>
      <c r="H233" s="428">
        <f t="shared" si="122"/>
        <v>0</v>
      </c>
      <c r="I233" s="428">
        <f t="shared" si="122"/>
        <v>0</v>
      </c>
    </row>
    <row r="234" spans="1:10" hidden="1" x14ac:dyDescent="0.2">
      <c r="A234" s="316"/>
      <c r="B234" s="315" t="s">
        <v>663</v>
      </c>
      <c r="C234" s="340">
        <f t="shared" ref="C234:I234" si="123">C232*C233/100000</f>
        <v>0</v>
      </c>
      <c r="D234" s="429">
        <f t="shared" si="123"/>
        <v>0</v>
      </c>
      <c r="E234" s="429">
        <f t="shared" si="123"/>
        <v>0</v>
      </c>
      <c r="F234" s="429">
        <f t="shared" si="123"/>
        <v>0</v>
      </c>
      <c r="G234" s="429">
        <f t="shared" si="123"/>
        <v>0</v>
      </c>
      <c r="H234" s="429">
        <f t="shared" si="123"/>
        <v>0</v>
      </c>
      <c r="I234" s="429">
        <f t="shared" si="123"/>
        <v>0</v>
      </c>
    </row>
    <row r="235" spans="1:10" hidden="1" x14ac:dyDescent="0.2">
      <c r="A235" s="316"/>
      <c r="B235" s="316"/>
      <c r="C235" s="316"/>
      <c r="D235" s="344"/>
      <c r="E235" s="344"/>
      <c r="F235" s="344"/>
      <c r="G235" s="344"/>
      <c r="H235" s="344"/>
      <c r="I235" s="344"/>
    </row>
    <row r="236" spans="1:10" x14ac:dyDescent="0.2">
      <c r="A236" s="316"/>
      <c r="B236" s="316"/>
      <c r="C236" s="316"/>
      <c r="D236" s="344"/>
      <c r="E236" s="344"/>
      <c r="F236" s="344"/>
      <c r="G236" s="344"/>
      <c r="H236" s="344"/>
      <c r="I236" s="344"/>
    </row>
    <row r="237" spans="1:10" x14ac:dyDescent="0.2">
      <c r="A237" s="316"/>
      <c r="B237" s="317" t="s">
        <v>665</v>
      </c>
      <c r="C237" s="341">
        <f t="shared" ref="C237:I237" si="124">+C133+C154+C158+C164+C185+C190+C217+C221+C225+C230+C234+C211</f>
        <v>216.69894212962961</v>
      </c>
      <c r="D237" s="341">
        <f t="shared" si="124"/>
        <v>252.81333333333333</v>
      </c>
      <c r="E237" s="341">
        <f t="shared" si="124"/>
        <v>292.79997925925932</v>
      </c>
      <c r="F237" s="341">
        <f t="shared" si="124"/>
        <v>337.81818259259262</v>
      </c>
      <c r="G237" s="341">
        <f t="shared" si="124"/>
        <v>381.95935351851858</v>
      </c>
      <c r="H237" s="341">
        <f t="shared" si="124"/>
        <v>432.19071555555553</v>
      </c>
      <c r="I237" s="341">
        <f t="shared" si="124"/>
        <v>488.38289861111116</v>
      </c>
    </row>
    <row r="239" spans="1:10" ht="18.75" x14ac:dyDescent="0.2">
      <c r="A239" s="604" t="s">
        <v>673</v>
      </c>
      <c r="B239" s="345"/>
      <c r="C239" s="345"/>
      <c r="D239" s="430"/>
      <c r="E239" s="430"/>
      <c r="F239" s="430"/>
      <c r="G239" s="430"/>
      <c r="H239" s="430"/>
      <c r="I239" s="430"/>
    </row>
    <row r="240" spans="1:10" x14ac:dyDescent="0.2">
      <c r="A240" s="122" t="s">
        <v>661</v>
      </c>
      <c r="B240" s="122" t="s">
        <v>0</v>
      </c>
      <c r="C240" s="122" t="s">
        <v>2</v>
      </c>
      <c r="D240" s="122" t="s">
        <v>3</v>
      </c>
      <c r="E240" s="122" t="s">
        <v>4</v>
      </c>
      <c r="F240" s="122" t="s">
        <v>5</v>
      </c>
      <c r="G240" s="122" t="s">
        <v>6</v>
      </c>
      <c r="H240" s="122" t="s">
        <v>163</v>
      </c>
      <c r="I240" s="122" t="s">
        <v>162</v>
      </c>
      <c r="J240" s="365">
        <v>3</v>
      </c>
    </row>
    <row r="241" spans="1:9" x14ac:dyDescent="0.2">
      <c r="A241" s="343"/>
      <c r="B241" s="628" t="str">
        <f>+'Input Sheet'!B57</f>
        <v>Finished Goods  -Flax Oil(MT)</v>
      </c>
      <c r="C241" s="326"/>
      <c r="D241" s="418"/>
      <c r="E241" s="418"/>
      <c r="F241" s="418"/>
      <c r="G241" s="418"/>
      <c r="H241" s="418"/>
      <c r="I241" s="418"/>
    </row>
    <row r="242" spans="1:9" x14ac:dyDescent="0.2">
      <c r="A242" s="338" t="s">
        <v>167</v>
      </c>
      <c r="B242" s="315" t="str">
        <f>+B131</f>
        <v>Flax Oil</v>
      </c>
      <c r="C242" s="332"/>
      <c r="D242" s="389"/>
      <c r="E242" s="389"/>
      <c r="F242" s="389"/>
      <c r="G242" s="389"/>
      <c r="H242" s="344"/>
      <c r="I242" s="344"/>
    </row>
    <row r="243" spans="1:9" x14ac:dyDescent="0.2">
      <c r="A243" s="343"/>
      <c r="B243" s="315" t="str">
        <f>+'Input Sheet'!$B$92</f>
        <v>1 Ltr Bottle</v>
      </c>
      <c r="C243" s="332"/>
      <c r="D243" s="389"/>
      <c r="E243" s="389"/>
      <c r="F243" s="389"/>
      <c r="G243" s="389"/>
      <c r="H243" s="389"/>
      <c r="I243" s="389"/>
    </row>
    <row r="244" spans="1:9" x14ac:dyDescent="0.2">
      <c r="A244" s="343"/>
      <c r="B244" s="332" t="s">
        <v>666</v>
      </c>
      <c r="C244" s="332">
        <f>0</f>
        <v>0</v>
      </c>
      <c r="D244" s="389">
        <f t="shared" ref="D244" si="125">C247</f>
        <v>285.18518518518516</v>
      </c>
      <c r="E244" s="389">
        <f t="shared" ref="E244" si="126">D247</f>
        <v>606.01851851851848</v>
      </c>
      <c r="F244" s="389">
        <f t="shared" ref="F244" si="127">E247</f>
        <v>962.5</v>
      </c>
      <c r="G244" s="389">
        <f t="shared" ref="G244" si="128">F247</f>
        <v>1354.6296296296296</v>
      </c>
      <c r="H244" s="389">
        <f t="shared" ref="H244" si="129">G247</f>
        <v>1764.5833333333333</v>
      </c>
      <c r="I244" s="389">
        <f t="shared" ref="I244" si="130">H247</f>
        <v>2210.1851851851852</v>
      </c>
    </row>
    <row r="245" spans="1:9" x14ac:dyDescent="0.2">
      <c r="A245" s="343"/>
      <c r="B245" s="332" t="s">
        <v>667</v>
      </c>
      <c r="C245" s="391">
        <f>+D648</f>
        <v>6844.4444444444443</v>
      </c>
      <c r="D245" s="391">
        <f t="shared" ref="D245:I245" si="131">+E648</f>
        <v>7700.0000000000009</v>
      </c>
      <c r="E245" s="391">
        <f t="shared" si="131"/>
        <v>8555.5555555555566</v>
      </c>
      <c r="F245" s="391">
        <f t="shared" si="131"/>
        <v>9411.1111111111113</v>
      </c>
      <c r="G245" s="391">
        <f t="shared" si="131"/>
        <v>9838.8888888888887</v>
      </c>
      <c r="H245" s="391">
        <f t="shared" si="131"/>
        <v>10694.444444444443</v>
      </c>
      <c r="I245" s="391">
        <f t="shared" si="131"/>
        <v>11549.999999999998</v>
      </c>
    </row>
    <row r="246" spans="1:9" x14ac:dyDescent="0.2">
      <c r="A246" s="343"/>
      <c r="B246" s="332" t="s">
        <v>668</v>
      </c>
      <c r="C246" s="339">
        <f t="shared" ref="C246:I246" si="132">C244+C245-C247</f>
        <v>6559.2592592592591</v>
      </c>
      <c r="D246" s="339">
        <f t="shared" si="132"/>
        <v>7379.1666666666679</v>
      </c>
      <c r="E246" s="339">
        <f t="shared" si="132"/>
        <v>8199.0740740740748</v>
      </c>
      <c r="F246" s="339">
        <f t="shared" si="132"/>
        <v>9018.9814814814818</v>
      </c>
      <c r="G246" s="339">
        <f t="shared" si="132"/>
        <v>9428.9351851851843</v>
      </c>
      <c r="H246" s="339">
        <f t="shared" si="132"/>
        <v>10248.842592592591</v>
      </c>
      <c r="I246" s="339">
        <f t="shared" si="132"/>
        <v>11068.749999999996</v>
      </c>
    </row>
    <row r="247" spans="1:9" x14ac:dyDescent="0.2">
      <c r="A247" s="343"/>
      <c r="B247" s="332" t="s">
        <v>333</v>
      </c>
      <c r="C247" s="389">
        <f>+(C244+C245/'Input Sheet'!$D$64)</f>
        <v>285.18518518518516</v>
      </c>
      <c r="D247" s="389">
        <f>+(D244+D245/'Input Sheet'!$D$64)</f>
        <v>606.01851851851848</v>
      </c>
      <c r="E247" s="389">
        <f>+(E244+E245/'Input Sheet'!$D$64)</f>
        <v>962.5</v>
      </c>
      <c r="F247" s="389">
        <f>+(F244+F245/'Input Sheet'!$D$64)</f>
        <v>1354.6296296296296</v>
      </c>
      <c r="G247" s="389">
        <f>+(G244+G245/'Input Sheet'!$D$64)</f>
        <v>1764.5833333333333</v>
      </c>
      <c r="H247" s="389">
        <f>+(H244+H245/'Input Sheet'!$D$64)</f>
        <v>2210.1851851851852</v>
      </c>
      <c r="I247" s="389">
        <f>+(I244+I245/'Input Sheet'!$D$64)</f>
        <v>2691.4351851851852</v>
      </c>
    </row>
    <row r="248" spans="1:9" x14ac:dyDescent="0.2">
      <c r="A248" s="343"/>
      <c r="B248" s="332"/>
      <c r="C248" s="332"/>
      <c r="D248" s="389"/>
      <c r="E248" s="389"/>
      <c r="F248" s="389"/>
      <c r="G248" s="389"/>
      <c r="H248" s="389"/>
      <c r="I248" s="389"/>
    </row>
    <row r="249" spans="1:9" x14ac:dyDescent="0.2">
      <c r="A249" s="343"/>
      <c r="B249" s="315" t="str">
        <f>+'Input Sheet'!$B$93</f>
        <v>5 Ltr Bottle</v>
      </c>
      <c r="C249" s="332"/>
      <c r="D249" s="389"/>
      <c r="E249" s="389"/>
      <c r="F249" s="389"/>
      <c r="G249" s="389"/>
      <c r="H249" s="389"/>
      <c r="I249" s="389"/>
    </row>
    <row r="250" spans="1:9" x14ac:dyDescent="0.2">
      <c r="A250" s="343"/>
      <c r="B250" s="332" t="s">
        <v>666</v>
      </c>
      <c r="C250" s="332">
        <f>0</f>
        <v>0</v>
      </c>
      <c r="D250" s="389">
        <f t="shared" ref="D250" si="133">C253</f>
        <v>46.666666666666664</v>
      </c>
      <c r="E250" s="389">
        <f t="shared" ref="E250" si="134">D253</f>
        <v>99.166666666666657</v>
      </c>
      <c r="F250" s="389">
        <f t="shared" ref="F250" si="135">E253</f>
        <v>157.5</v>
      </c>
      <c r="G250" s="389">
        <f t="shared" ref="G250" si="136">F253</f>
        <v>221.66666666666666</v>
      </c>
      <c r="H250" s="389">
        <f t="shared" ref="H250" si="137">G253</f>
        <v>288.75</v>
      </c>
      <c r="I250" s="389">
        <f t="shared" ref="I250" si="138">H253</f>
        <v>361.66666666666663</v>
      </c>
    </row>
    <row r="251" spans="1:9" x14ac:dyDescent="0.2">
      <c r="A251" s="343"/>
      <c r="B251" s="332" t="s">
        <v>667</v>
      </c>
      <c r="C251" s="332">
        <f>+D653</f>
        <v>1120</v>
      </c>
      <c r="D251" s="332">
        <f t="shared" ref="D251:I251" si="139">+E653</f>
        <v>1260</v>
      </c>
      <c r="E251" s="332">
        <f t="shared" si="139"/>
        <v>1400</v>
      </c>
      <c r="F251" s="332">
        <f t="shared" si="139"/>
        <v>1539.9999999999998</v>
      </c>
      <c r="G251" s="332">
        <f t="shared" si="139"/>
        <v>1609.9999999999998</v>
      </c>
      <c r="H251" s="332">
        <f t="shared" si="139"/>
        <v>1749.9999999999995</v>
      </c>
      <c r="I251" s="332">
        <f t="shared" si="139"/>
        <v>1889.9999999999995</v>
      </c>
    </row>
    <row r="252" spans="1:9" x14ac:dyDescent="0.2">
      <c r="A252" s="343"/>
      <c r="B252" s="332" t="s">
        <v>668</v>
      </c>
      <c r="C252" s="339">
        <f t="shared" ref="C252:I252" si="140">C250+C251-C253</f>
        <v>1073.3333333333333</v>
      </c>
      <c r="D252" s="339">
        <f t="shared" si="140"/>
        <v>1207.5</v>
      </c>
      <c r="E252" s="339">
        <f t="shared" si="140"/>
        <v>1341.6666666666667</v>
      </c>
      <c r="F252" s="339">
        <f t="shared" si="140"/>
        <v>1475.833333333333</v>
      </c>
      <c r="G252" s="339">
        <f t="shared" si="140"/>
        <v>1542.9166666666665</v>
      </c>
      <c r="H252" s="339">
        <f t="shared" si="140"/>
        <v>1677.083333333333</v>
      </c>
      <c r="I252" s="339">
        <f t="shared" si="140"/>
        <v>1811.2499999999995</v>
      </c>
    </row>
    <row r="253" spans="1:9" x14ac:dyDescent="0.2">
      <c r="A253" s="343"/>
      <c r="B253" s="332" t="s">
        <v>333</v>
      </c>
      <c r="C253" s="389">
        <f>+(C250+C251/'Input Sheet'!$D$64)</f>
        <v>46.666666666666664</v>
      </c>
      <c r="D253" s="389">
        <f>+(D250+D251/'Input Sheet'!$D$64)</f>
        <v>99.166666666666657</v>
      </c>
      <c r="E253" s="389">
        <f>+(E250+E251/'Input Sheet'!$D$64)</f>
        <v>157.5</v>
      </c>
      <c r="F253" s="389">
        <f>+(F250+F251/'Input Sheet'!$D$64)</f>
        <v>221.66666666666666</v>
      </c>
      <c r="G253" s="389">
        <f>+(G250+G251/'Input Sheet'!$D$64)</f>
        <v>288.75</v>
      </c>
      <c r="H253" s="389">
        <f>+(H250+H251/'Input Sheet'!$D$64)</f>
        <v>361.66666666666663</v>
      </c>
      <c r="I253" s="389">
        <f>+(I250+I251/'Input Sheet'!$D$64)</f>
        <v>440.41666666666663</v>
      </c>
    </row>
    <row r="254" spans="1:9" x14ac:dyDescent="0.2">
      <c r="A254" s="343"/>
      <c r="B254" s="332"/>
      <c r="C254" s="332"/>
      <c r="D254" s="389"/>
      <c r="E254" s="389"/>
      <c r="F254" s="389"/>
      <c r="G254" s="389"/>
      <c r="H254" s="389"/>
      <c r="I254" s="389"/>
    </row>
    <row r="255" spans="1:9" x14ac:dyDescent="0.2">
      <c r="A255" s="343"/>
      <c r="B255" s="315" t="str">
        <f>+'Input Sheet'!$B$94</f>
        <v>1Ltr Pouch</v>
      </c>
      <c r="C255" s="332"/>
      <c r="D255" s="389"/>
      <c r="E255" s="389"/>
      <c r="F255" s="389"/>
      <c r="G255" s="389"/>
      <c r="H255" s="389"/>
      <c r="I255" s="389"/>
    </row>
    <row r="256" spans="1:9" x14ac:dyDescent="0.2">
      <c r="A256" s="343"/>
      <c r="B256" s="332" t="s">
        <v>666</v>
      </c>
      <c r="C256" s="332">
        <f>0</f>
        <v>0</v>
      </c>
      <c r="D256" s="389">
        <f t="shared" ref="D256" si="141">C259</f>
        <v>155.55555555555554</v>
      </c>
      <c r="E256" s="389">
        <f t="shared" ref="E256" si="142">D259</f>
        <v>330.55555555555554</v>
      </c>
      <c r="F256" s="389">
        <f t="shared" ref="F256" si="143">E259</f>
        <v>525</v>
      </c>
      <c r="G256" s="389">
        <f t="shared" ref="G256" si="144">F259</f>
        <v>738.88888888888891</v>
      </c>
      <c r="H256" s="389">
        <f t="shared" ref="H256" si="145">G259</f>
        <v>962.5</v>
      </c>
      <c r="I256" s="389">
        <f t="shared" ref="I256" si="146">H259</f>
        <v>1205.5555555555557</v>
      </c>
    </row>
    <row r="257" spans="1:9" x14ac:dyDescent="0.2">
      <c r="A257" s="343"/>
      <c r="B257" s="332" t="s">
        <v>667</v>
      </c>
      <c r="C257" s="389">
        <f>+D671</f>
        <v>3733.333333333333</v>
      </c>
      <c r="D257" s="389">
        <f t="shared" ref="D257:I257" si="147">+E671</f>
        <v>4199.9999999999991</v>
      </c>
      <c r="E257" s="389">
        <f t="shared" si="147"/>
        <v>4666.6666666666661</v>
      </c>
      <c r="F257" s="389">
        <f t="shared" si="147"/>
        <v>5133.333333333333</v>
      </c>
      <c r="G257" s="389">
        <f t="shared" si="147"/>
        <v>5366.6666666666661</v>
      </c>
      <c r="H257" s="389">
        <f t="shared" si="147"/>
        <v>5833.333333333333</v>
      </c>
      <c r="I257" s="389">
        <f t="shared" si="147"/>
        <v>6300</v>
      </c>
    </row>
    <row r="258" spans="1:9" x14ac:dyDescent="0.2">
      <c r="A258" s="343"/>
      <c r="B258" s="332" t="s">
        <v>668</v>
      </c>
      <c r="C258" s="339">
        <f t="shared" ref="C258:I258" si="148">C256+C257-C259</f>
        <v>3577.7777777777774</v>
      </c>
      <c r="D258" s="339">
        <f t="shared" si="148"/>
        <v>4024.9999999999991</v>
      </c>
      <c r="E258" s="339">
        <f t="shared" si="148"/>
        <v>4472.2222222222217</v>
      </c>
      <c r="F258" s="339">
        <f t="shared" si="148"/>
        <v>4919.4444444444443</v>
      </c>
      <c r="G258" s="339">
        <f t="shared" si="148"/>
        <v>5143.0555555555547</v>
      </c>
      <c r="H258" s="339">
        <f t="shared" si="148"/>
        <v>5590.2777777777774</v>
      </c>
      <c r="I258" s="339">
        <f t="shared" si="148"/>
        <v>6037.5</v>
      </c>
    </row>
    <row r="259" spans="1:9" x14ac:dyDescent="0.2">
      <c r="A259" s="343"/>
      <c r="B259" s="332" t="s">
        <v>333</v>
      </c>
      <c r="C259" s="389">
        <f>+(C256+C257/'Input Sheet'!$D$64)</f>
        <v>155.55555555555554</v>
      </c>
      <c r="D259" s="389">
        <f>+(D256+D257/'Input Sheet'!$D$64)</f>
        <v>330.55555555555554</v>
      </c>
      <c r="E259" s="389">
        <f>+(E256+E257/'Input Sheet'!$D$64)</f>
        <v>525</v>
      </c>
      <c r="F259" s="389">
        <f>+(F256+F257/'Input Sheet'!$D$64)</f>
        <v>738.88888888888891</v>
      </c>
      <c r="G259" s="389">
        <f>+(G256+G257/'Input Sheet'!$D$64)</f>
        <v>962.5</v>
      </c>
      <c r="H259" s="389">
        <f>+(H256+H257/'Input Sheet'!$D$64)</f>
        <v>1205.5555555555557</v>
      </c>
      <c r="I259" s="389">
        <f>+(I256+I257/'Input Sheet'!$D$64)</f>
        <v>1468.0555555555557</v>
      </c>
    </row>
    <row r="260" spans="1:9" x14ac:dyDescent="0.2">
      <c r="A260" s="343"/>
      <c r="B260" s="332"/>
      <c r="C260" s="332"/>
      <c r="D260" s="389"/>
      <c r="E260" s="389"/>
      <c r="F260" s="389"/>
      <c r="G260" s="389"/>
      <c r="H260" s="389"/>
      <c r="I260" s="389"/>
    </row>
    <row r="261" spans="1:9" x14ac:dyDescent="0.2">
      <c r="A261" s="343"/>
      <c r="B261" s="315" t="str">
        <f>+'Input Sheet'!$B$95</f>
        <v>500 ML Pouch</v>
      </c>
      <c r="C261" s="332"/>
      <c r="D261" s="389"/>
      <c r="E261" s="389"/>
      <c r="F261" s="389"/>
      <c r="G261" s="389"/>
      <c r="H261" s="389"/>
      <c r="I261" s="389"/>
    </row>
    <row r="262" spans="1:9" x14ac:dyDescent="0.2">
      <c r="A262" s="343"/>
      <c r="B262" s="332" t="s">
        <v>666</v>
      </c>
      <c r="C262" s="332">
        <f>0</f>
        <v>0</v>
      </c>
      <c r="D262" s="389">
        <f t="shared" ref="D262" si="149">C265</f>
        <v>133.33333333333331</v>
      </c>
      <c r="E262" s="389">
        <f t="shared" ref="E262" si="150">D265</f>
        <v>283.33333333333326</v>
      </c>
      <c r="F262" s="389">
        <f t="shared" ref="F262" si="151">E265</f>
        <v>449.99999999999989</v>
      </c>
      <c r="G262" s="389">
        <f t="shared" ref="G262" si="152">F265</f>
        <v>633.33333333333326</v>
      </c>
      <c r="H262" s="389">
        <f t="shared" ref="H262" si="153">G265</f>
        <v>824.99999999999989</v>
      </c>
      <c r="I262" s="389">
        <f t="shared" ref="I262" si="154">H265</f>
        <v>1033.3333333333333</v>
      </c>
    </row>
    <row r="263" spans="1:9" x14ac:dyDescent="0.2">
      <c r="A263" s="343"/>
      <c r="B263" s="332" t="s">
        <v>667</v>
      </c>
      <c r="C263" s="389">
        <f>+D676</f>
        <v>3199.9999999999995</v>
      </c>
      <c r="D263" s="389">
        <f t="shared" ref="D263:I263" si="155">+E676</f>
        <v>3599.9999999999995</v>
      </c>
      <c r="E263" s="389">
        <f t="shared" si="155"/>
        <v>3999.9999999999995</v>
      </c>
      <c r="F263" s="389">
        <f t="shared" si="155"/>
        <v>4400</v>
      </c>
      <c r="G263" s="389">
        <f t="shared" si="155"/>
        <v>4599.9999999999991</v>
      </c>
      <c r="H263" s="389">
        <f t="shared" si="155"/>
        <v>5000</v>
      </c>
      <c r="I263" s="389">
        <f t="shared" si="155"/>
        <v>5400</v>
      </c>
    </row>
    <row r="264" spans="1:9" x14ac:dyDescent="0.2">
      <c r="A264" s="343"/>
      <c r="B264" s="332" t="s">
        <v>668</v>
      </c>
      <c r="C264" s="339">
        <f t="shared" ref="C264:I264" si="156">C262+C263-C265</f>
        <v>3066.6666666666661</v>
      </c>
      <c r="D264" s="339">
        <f t="shared" si="156"/>
        <v>3450</v>
      </c>
      <c r="E264" s="339">
        <f t="shared" si="156"/>
        <v>3833.333333333333</v>
      </c>
      <c r="F264" s="339">
        <f t="shared" si="156"/>
        <v>4216.666666666667</v>
      </c>
      <c r="G264" s="339">
        <f t="shared" si="156"/>
        <v>4408.3333333333321</v>
      </c>
      <c r="H264" s="339">
        <f t="shared" si="156"/>
        <v>4791.666666666667</v>
      </c>
      <c r="I264" s="339">
        <f t="shared" si="156"/>
        <v>5175</v>
      </c>
    </row>
    <row r="265" spans="1:9" x14ac:dyDescent="0.2">
      <c r="A265" s="343"/>
      <c r="B265" s="332" t="s">
        <v>333</v>
      </c>
      <c r="C265" s="389">
        <f>+(C262+C263/'Input Sheet'!$D$64)</f>
        <v>133.33333333333331</v>
      </c>
      <c r="D265" s="389">
        <f>+(D262+D263/'Input Sheet'!$D$64)</f>
        <v>283.33333333333326</v>
      </c>
      <c r="E265" s="389">
        <f>+(E262+E263/'Input Sheet'!$D$64)</f>
        <v>449.99999999999989</v>
      </c>
      <c r="F265" s="389">
        <f>+(F262+F263/'Input Sheet'!$D$64)</f>
        <v>633.33333333333326</v>
      </c>
      <c r="G265" s="389">
        <f>+(G262+G263/'Input Sheet'!$D$64)</f>
        <v>824.99999999999989</v>
      </c>
      <c r="H265" s="389">
        <f>+(H262+H263/'Input Sheet'!$D$64)</f>
        <v>1033.3333333333333</v>
      </c>
      <c r="I265" s="389">
        <f>+(I262+I263/'Input Sheet'!$D$64)</f>
        <v>1258.3333333333333</v>
      </c>
    </row>
    <row r="266" spans="1:9" x14ac:dyDescent="0.2">
      <c r="A266" s="343"/>
      <c r="B266" s="332"/>
      <c r="C266" s="332"/>
      <c r="D266" s="389"/>
      <c r="E266" s="389"/>
      <c r="F266" s="389"/>
      <c r="G266" s="389"/>
      <c r="H266" s="389"/>
      <c r="I266" s="389"/>
    </row>
    <row r="267" spans="1:9" x14ac:dyDescent="0.2">
      <c r="A267" s="316"/>
      <c r="B267" s="316"/>
      <c r="C267" s="316"/>
      <c r="D267" s="344"/>
      <c r="E267" s="344"/>
      <c r="F267" s="344"/>
      <c r="G267" s="344"/>
      <c r="H267" s="344"/>
      <c r="I267" s="344"/>
    </row>
    <row r="268" spans="1:9" x14ac:dyDescent="0.2">
      <c r="A268" s="338" t="s">
        <v>168</v>
      </c>
      <c r="B268" s="317" t="str">
        <f>+B152</f>
        <v>Oil Cake</v>
      </c>
      <c r="C268" s="317"/>
      <c r="D268" s="341"/>
      <c r="E268" s="341"/>
      <c r="F268" s="341"/>
      <c r="G268" s="341"/>
      <c r="H268" s="341"/>
      <c r="I268" s="341"/>
    </row>
    <row r="269" spans="1:9" x14ac:dyDescent="0.2">
      <c r="A269" s="316"/>
      <c r="B269" s="332" t="s">
        <v>666</v>
      </c>
      <c r="C269" s="332">
        <f>0</f>
        <v>0</v>
      </c>
      <c r="D269" s="389">
        <f t="shared" ref="D269:I269" si="157">C272</f>
        <v>0</v>
      </c>
      <c r="E269" s="389">
        <f t="shared" si="157"/>
        <v>0</v>
      </c>
      <c r="F269" s="389">
        <f t="shared" si="157"/>
        <v>0</v>
      </c>
      <c r="G269" s="389">
        <f t="shared" si="157"/>
        <v>0</v>
      </c>
      <c r="H269" s="389">
        <f t="shared" si="157"/>
        <v>0</v>
      </c>
      <c r="I269" s="389">
        <f t="shared" si="157"/>
        <v>0</v>
      </c>
    </row>
    <row r="270" spans="1:9" x14ac:dyDescent="0.2">
      <c r="A270" s="316"/>
      <c r="B270" s="332" t="s">
        <v>667</v>
      </c>
      <c r="C270" s="333">
        <f>+B41+B27</f>
        <v>87.65</v>
      </c>
      <c r="D270" s="333">
        <f t="shared" ref="D270:I270" si="158">+C41+C27</f>
        <v>97.5</v>
      </c>
      <c r="E270" s="333">
        <f t="shared" si="158"/>
        <v>107.35000000000001</v>
      </c>
      <c r="F270" s="333">
        <f t="shared" si="158"/>
        <v>117.20000000000002</v>
      </c>
      <c r="G270" s="333">
        <f t="shared" si="158"/>
        <v>127.05000000000003</v>
      </c>
      <c r="H270" s="333">
        <f t="shared" si="158"/>
        <v>136.90000000000003</v>
      </c>
      <c r="I270" s="333">
        <f t="shared" si="158"/>
        <v>146.75000000000006</v>
      </c>
    </row>
    <row r="271" spans="1:9" x14ac:dyDescent="0.2">
      <c r="A271" s="316"/>
      <c r="B271" s="332" t="s">
        <v>668</v>
      </c>
      <c r="C271" s="332">
        <f t="shared" ref="C271:I271" si="159">C269+C270-C272</f>
        <v>87.65</v>
      </c>
      <c r="D271" s="389">
        <f t="shared" si="159"/>
        <v>97.5</v>
      </c>
      <c r="E271" s="389">
        <f t="shared" si="159"/>
        <v>107.35000000000001</v>
      </c>
      <c r="F271" s="389">
        <f t="shared" si="159"/>
        <v>117.20000000000002</v>
      </c>
      <c r="G271" s="389">
        <f t="shared" si="159"/>
        <v>127.05000000000003</v>
      </c>
      <c r="H271" s="389">
        <f t="shared" si="159"/>
        <v>136.90000000000003</v>
      </c>
      <c r="I271" s="389">
        <f t="shared" si="159"/>
        <v>146.75000000000006</v>
      </c>
    </row>
    <row r="272" spans="1:9" x14ac:dyDescent="0.2">
      <c r="A272" s="316"/>
      <c r="B272" s="332" t="s">
        <v>333</v>
      </c>
      <c r="C272" s="332">
        <v>0</v>
      </c>
      <c r="D272" s="389">
        <v>0</v>
      </c>
      <c r="E272" s="389">
        <v>0</v>
      </c>
      <c r="F272" s="389">
        <v>0</v>
      </c>
      <c r="G272" s="389">
        <v>0</v>
      </c>
      <c r="H272" s="389">
        <v>0</v>
      </c>
      <c r="I272" s="389">
        <v>0</v>
      </c>
    </row>
    <row r="273" spans="1:9" x14ac:dyDescent="0.2">
      <c r="A273" s="316"/>
      <c r="B273" s="316"/>
      <c r="C273" s="316"/>
      <c r="D273" s="344"/>
      <c r="E273" s="344"/>
      <c r="F273" s="344"/>
      <c r="G273" s="344"/>
      <c r="H273" s="344"/>
      <c r="I273" s="344"/>
    </row>
    <row r="274" spans="1:9" x14ac:dyDescent="0.2">
      <c r="A274" s="338" t="s">
        <v>169</v>
      </c>
      <c r="B274" s="342" t="str">
        <f>+B156</f>
        <v>Waste</v>
      </c>
      <c r="C274" s="317"/>
      <c r="D274" s="341"/>
      <c r="E274" s="341"/>
      <c r="F274" s="341"/>
      <c r="G274" s="341"/>
      <c r="H274" s="341"/>
      <c r="I274" s="341"/>
    </row>
    <row r="275" spans="1:9" x14ac:dyDescent="0.2">
      <c r="A275" s="316"/>
      <c r="B275" s="332" t="s">
        <v>666</v>
      </c>
      <c r="C275" s="332">
        <f>0</f>
        <v>0</v>
      </c>
      <c r="D275" s="389">
        <f t="shared" ref="D275:I275" si="160">C278</f>
        <v>0</v>
      </c>
      <c r="E275" s="389">
        <f t="shared" si="160"/>
        <v>0</v>
      </c>
      <c r="F275" s="389">
        <f t="shared" si="160"/>
        <v>0</v>
      </c>
      <c r="G275" s="389">
        <f t="shared" si="160"/>
        <v>0</v>
      </c>
      <c r="H275" s="389">
        <f t="shared" si="160"/>
        <v>0</v>
      </c>
      <c r="I275" s="389">
        <f t="shared" si="160"/>
        <v>0</v>
      </c>
    </row>
    <row r="276" spans="1:9" x14ac:dyDescent="0.2">
      <c r="A276" s="316"/>
      <c r="B276" s="332" t="s">
        <v>667</v>
      </c>
      <c r="C276" s="333">
        <f t="shared" ref="C276:I276" si="161">+B42</f>
        <v>3</v>
      </c>
      <c r="D276" s="389">
        <f t="shared" si="161"/>
        <v>3</v>
      </c>
      <c r="E276" s="389">
        <f t="shared" si="161"/>
        <v>3</v>
      </c>
      <c r="F276" s="389">
        <f t="shared" si="161"/>
        <v>4</v>
      </c>
      <c r="G276" s="389">
        <f t="shared" si="161"/>
        <v>4</v>
      </c>
      <c r="H276" s="389">
        <f t="shared" si="161"/>
        <v>4</v>
      </c>
      <c r="I276" s="389">
        <f t="shared" si="161"/>
        <v>5</v>
      </c>
    </row>
    <row r="277" spans="1:9" x14ac:dyDescent="0.2">
      <c r="A277" s="316"/>
      <c r="B277" s="332" t="s">
        <v>668</v>
      </c>
      <c r="C277" s="332">
        <f t="shared" ref="C277:I277" si="162">C275+C276-C278</f>
        <v>3</v>
      </c>
      <c r="D277" s="389">
        <f t="shared" si="162"/>
        <v>3</v>
      </c>
      <c r="E277" s="389">
        <f t="shared" si="162"/>
        <v>3</v>
      </c>
      <c r="F277" s="389">
        <f t="shared" si="162"/>
        <v>4</v>
      </c>
      <c r="G277" s="389">
        <f t="shared" si="162"/>
        <v>4</v>
      </c>
      <c r="H277" s="389">
        <f t="shared" si="162"/>
        <v>4</v>
      </c>
      <c r="I277" s="389">
        <f t="shared" si="162"/>
        <v>5</v>
      </c>
    </row>
    <row r="278" spans="1:9" x14ac:dyDescent="0.2">
      <c r="A278" s="316"/>
      <c r="B278" s="332" t="s">
        <v>333</v>
      </c>
      <c r="C278" s="332">
        <v>0</v>
      </c>
      <c r="D278" s="389">
        <v>0</v>
      </c>
      <c r="E278" s="389">
        <v>0</v>
      </c>
      <c r="F278" s="389">
        <v>0</v>
      </c>
      <c r="G278" s="389">
        <v>0</v>
      </c>
      <c r="H278" s="389">
        <v>0</v>
      </c>
      <c r="I278" s="389">
        <v>0</v>
      </c>
    </row>
    <row r="279" spans="1:9" x14ac:dyDescent="0.2">
      <c r="A279" s="316"/>
      <c r="B279" s="332"/>
      <c r="C279" s="332"/>
      <c r="D279" s="389"/>
      <c r="E279" s="389"/>
      <c r="F279" s="389"/>
      <c r="G279" s="389"/>
      <c r="H279" s="389"/>
      <c r="I279" s="389"/>
    </row>
    <row r="280" spans="1:9" x14ac:dyDescent="0.2">
      <c r="A280" s="316"/>
      <c r="B280" s="316"/>
      <c r="C280" s="316"/>
      <c r="D280" s="344"/>
      <c r="E280" s="344"/>
      <c r="F280" s="344"/>
      <c r="G280" s="344"/>
      <c r="H280" s="344"/>
      <c r="I280" s="344"/>
    </row>
    <row r="281" spans="1:9" x14ac:dyDescent="0.2">
      <c r="A281" s="316"/>
      <c r="B281" s="315" t="s">
        <v>669</v>
      </c>
      <c r="C281" s="332"/>
      <c r="D281" s="344"/>
      <c r="E281" s="344"/>
      <c r="F281" s="344"/>
      <c r="G281" s="344"/>
      <c r="H281" s="344"/>
      <c r="I281" s="344"/>
    </row>
    <row r="282" spans="1:9" x14ac:dyDescent="0.2">
      <c r="A282" s="343" t="s">
        <v>167</v>
      </c>
      <c r="B282" s="328" t="str">
        <f>+B242</f>
        <v>Flax Oil</v>
      </c>
      <c r="C282" s="582">
        <f>+'Input Sheet'!C91</f>
        <v>0</v>
      </c>
      <c r="D282" s="582">
        <f>+'Input Sheet'!D91</f>
        <v>0</v>
      </c>
      <c r="E282" s="582">
        <f>+'Input Sheet'!E91</f>
        <v>0</v>
      </c>
      <c r="F282" s="582">
        <f>+'Input Sheet'!F91</f>
        <v>0</v>
      </c>
      <c r="G282" s="582">
        <f>+'Input Sheet'!G91</f>
        <v>0</v>
      </c>
      <c r="H282" s="582">
        <f>+'Input Sheet'!H91</f>
        <v>0</v>
      </c>
      <c r="I282" s="582">
        <f>+'Input Sheet'!I91</f>
        <v>0</v>
      </c>
    </row>
    <row r="283" spans="1:9" x14ac:dyDescent="0.2">
      <c r="A283" s="343"/>
      <c r="B283" s="624" t="str">
        <f>+$B$243</f>
        <v>1 Ltr Bottle</v>
      </c>
      <c r="C283" s="582">
        <f>+'Input Sheet'!C92</f>
        <v>155</v>
      </c>
      <c r="D283" s="582">
        <f>+'Input Sheet'!D92</f>
        <v>160</v>
      </c>
      <c r="E283" s="582">
        <f>+'Input Sheet'!E92</f>
        <v>170</v>
      </c>
      <c r="F283" s="582">
        <f>+'Input Sheet'!F92</f>
        <v>180</v>
      </c>
      <c r="G283" s="582">
        <f>+'Input Sheet'!G92</f>
        <v>190</v>
      </c>
      <c r="H283" s="582">
        <f>+'Input Sheet'!H92</f>
        <v>200</v>
      </c>
      <c r="I283" s="582">
        <f>+'Input Sheet'!I92</f>
        <v>210</v>
      </c>
    </row>
    <row r="284" spans="1:9" x14ac:dyDescent="0.2">
      <c r="A284" s="343"/>
      <c r="B284" s="624" t="str">
        <f>+$B$249</f>
        <v>5 Ltr Bottle</v>
      </c>
      <c r="C284" s="582">
        <f>+'Input Sheet'!C93</f>
        <v>725</v>
      </c>
      <c r="D284" s="582">
        <f>+'Input Sheet'!D93</f>
        <v>760</v>
      </c>
      <c r="E284" s="582">
        <f>+'Input Sheet'!E93</f>
        <v>800</v>
      </c>
      <c r="F284" s="582">
        <f>+'Input Sheet'!F93</f>
        <v>840</v>
      </c>
      <c r="G284" s="582">
        <f>+'Input Sheet'!G93</f>
        <v>880</v>
      </c>
      <c r="H284" s="582">
        <f>+'Input Sheet'!H93</f>
        <v>920</v>
      </c>
      <c r="I284" s="582">
        <f>+'Input Sheet'!I93</f>
        <v>970</v>
      </c>
    </row>
    <row r="285" spans="1:9" x14ac:dyDescent="0.2">
      <c r="A285" s="343"/>
      <c r="B285" s="624" t="str">
        <f>+$B$255</f>
        <v>1Ltr Pouch</v>
      </c>
      <c r="C285" s="582">
        <f>+'Input Sheet'!C94</f>
        <v>158</v>
      </c>
      <c r="D285" s="582">
        <f>+'Input Sheet'!D94</f>
        <v>170</v>
      </c>
      <c r="E285" s="582">
        <f>+'Input Sheet'!E94</f>
        <v>180</v>
      </c>
      <c r="F285" s="582">
        <f>+'Input Sheet'!F94</f>
        <v>190</v>
      </c>
      <c r="G285" s="582">
        <f>+'Input Sheet'!G94</f>
        <v>200</v>
      </c>
      <c r="H285" s="582">
        <f>+'Input Sheet'!H94</f>
        <v>210</v>
      </c>
      <c r="I285" s="582">
        <f>+'Input Sheet'!I94</f>
        <v>220</v>
      </c>
    </row>
    <row r="286" spans="1:9" x14ac:dyDescent="0.2">
      <c r="A286" s="343"/>
      <c r="B286" s="624" t="str">
        <f>+$B$261</f>
        <v>500 ML Pouch</v>
      </c>
      <c r="C286" s="582">
        <f>+'Input Sheet'!C95</f>
        <v>87</v>
      </c>
      <c r="D286" s="582">
        <f>+'Input Sheet'!D95</f>
        <v>90</v>
      </c>
      <c r="E286" s="582">
        <f>+'Input Sheet'!E95</f>
        <v>90</v>
      </c>
      <c r="F286" s="582">
        <f>+'Input Sheet'!F95</f>
        <v>90</v>
      </c>
      <c r="G286" s="582">
        <f>+'Input Sheet'!G95</f>
        <v>90</v>
      </c>
      <c r="H286" s="582">
        <f>+'Input Sheet'!H95</f>
        <v>90</v>
      </c>
      <c r="I286" s="582">
        <f>+'Input Sheet'!I95</f>
        <v>90</v>
      </c>
    </row>
    <row r="287" spans="1:9" x14ac:dyDescent="0.2">
      <c r="A287" s="343"/>
      <c r="B287" s="328"/>
      <c r="C287" s="582"/>
      <c r="D287" s="582"/>
      <c r="E287" s="582"/>
      <c r="F287" s="582"/>
      <c r="G287" s="582"/>
      <c r="H287" s="582"/>
      <c r="I287" s="582"/>
    </row>
    <row r="288" spans="1:9" x14ac:dyDescent="0.2">
      <c r="A288" s="343" t="s">
        <v>168</v>
      </c>
      <c r="B288" s="328" t="str">
        <f>B268</f>
        <v>Oil Cake</v>
      </c>
      <c r="C288" s="582">
        <f>+'Input Sheet'!C96</f>
        <v>23500</v>
      </c>
      <c r="D288" s="582">
        <f>+'Input Sheet'!D96</f>
        <v>24680</v>
      </c>
      <c r="E288" s="582">
        <f>+'Input Sheet'!E96</f>
        <v>25910</v>
      </c>
      <c r="F288" s="582">
        <f>+'Input Sheet'!F96</f>
        <v>27210</v>
      </c>
      <c r="G288" s="582">
        <f>+'Input Sheet'!G96</f>
        <v>28570</v>
      </c>
      <c r="H288" s="582">
        <f>+'Input Sheet'!H96</f>
        <v>30000</v>
      </c>
      <c r="I288" s="582">
        <f>+'Input Sheet'!I96</f>
        <v>31500</v>
      </c>
    </row>
    <row r="289" spans="1:9" x14ac:dyDescent="0.2">
      <c r="A289" s="343" t="s">
        <v>169</v>
      </c>
      <c r="B289" s="328" t="str">
        <f>B274</f>
        <v>Waste</v>
      </c>
      <c r="C289" s="582">
        <f>+'Input Sheet'!C97</f>
        <v>0</v>
      </c>
      <c r="D289" s="582">
        <f>+'Input Sheet'!D97</f>
        <v>0</v>
      </c>
      <c r="E289" s="582">
        <f>+'Input Sheet'!E97</f>
        <v>0</v>
      </c>
      <c r="F289" s="582">
        <f>+'Input Sheet'!F97</f>
        <v>0</v>
      </c>
      <c r="G289" s="582">
        <f>+'Input Sheet'!G97</f>
        <v>0</v>
      </c>
      <c r="H289" s="582">
        <f>+'Input Sheet'!H97</f>
        <v>0</v>
      </c>
      <c r="I289" s="582">
        <f>+'Input Sheet'!I97</f>
        <v>0</v>
      </c>
    </row>
    <row r="290" spans="1:9" x14ac:dyDescent="0.2">
      <c r="A290" s="316"/>
      <c r="B290" s="316"/>
      <c r="C290" s="316"/>
      <c r="D290" s="344"/>
      <c r="E290" s="344"/>
      <c r="F290" s="344"/>
      <c r="G290" s="344"/>
      <c r="H290" s="344"/>
      <c r="I290" s="344"/>
    </row>
    <row r="291" spans="1:9" x14ac:dyDescent="0.2">
      <c r="A291" s="317" t="s">
        <v>167</v>
      </c>
      <c r="B291" s="629" t="str">
        <f>B282</f>
        <v>Flax Oil</v>
      </c>
      <c r="C291" s="316"/>
      <c r="D291" s="344"/>
      <c r="E291" s="344"/>
      <c r="F291" s="344"/>
      <c r="G291" s="344"/>
      <c r="H291" s="344"/>
      <c r="I291" s="344"/>
    </row>
    <row r="292" spans="1:9" x14ac:dyDescent="0.2">
      <c r="A292" s="316"/>
      <c r="B292" s="332" t="s">
        <v>670</v>
      </c>
      <c r="C292" s="339">
        <v>0</v>
      </c>
      <c r="D292" s="428">
        <f t="shared" ref="D292:I292" si="163">C293</f>
        <v>1.1421481481481479</v>
      </c>
      <c r="E292" s="428">
        <f t="shared" si="163"/>
        <v>2.5402407407407406</v>
      </c>
      <c r="F292" s="428">
        <f t="shared" si="163"/>
        <v>4.2462499999999999</v>
      </c>
      <c r="G292" s="428">
        <f t="shared" si="163"/>
        <v>6.2742222222222219</v>
      </c>
      <c r="H292" s="428">
        <f t="shared" si="163"/>
        <v>8.5612083333333331</v>
      </c>
      <c r="I292" s="428">
        <f t="shared" si="163"/>
        <v>11.209370370370369</v>
      </c>
    </row>
    <row r="293" spans="1:9" x14ac:dyDescent="0.2">
      <c r="A293" s="316"/>
      <c r="B293" s="332" t="s">
        <v>671</v>
      </c>
      <c r="C293" s="339">
        <f>SUM(C294:C297)</f>
        <v>1.1421481481481479</v>
      </c>
      <c r="D293" s="339">
        <f t="shared" ref="D293:I293" si="164">SUM(D294:D297)</f>
        <v>2.5402407407407406</v>
      </c>
      <c r="E293" s="339">
        <f t="shared" si="164"/>
        <v>4.2462499999999999</v>
      </c>
      <c r="F293" s="339">
        <f t="shared" si="164"/>
        <v>6.2742222222222219</v>
      </c>
      <c r="G293" s="339">
        <f t="shared" si="164"/>
        <v>8.5612083333333331</v>
      </c>
      <c r="H293" s="339">
        <f t="shared" si="164"/>
        <v>11.209370370370369</v>
      </c>
      <c r="I293" s="339">
        <f t="shared" si="164"/>
        <v>14.286277777777777</v>
      </c>
    </row>
    <row r="294" spans="1:9" x14ac:dyDescent="0.2">
      <c r="A294" s="316"/>
      <c r="B294" s="624" t="str">
        <f>+$B$243</f>
        <v>1 Ltr Bottle</v>
      </c>
      <c r="C294" s="339">
        <f>+C283*C247/100000</f>
        <v>0.44203703703703701</v>
      </c>
      <c r="D294" s="339">
        <f t="shared" ref="D294:I294" si="165">+D283*D247/100000</f>
        <v>0.96962962962962951</v>
      </c>
      <c r="E294" s="339">
        <f t="shared" si="165"/>
        <v>1.63625</v>
      </c>
      <c r="F294" s="339">
        <f t="shared" si="165"/>
        <v>2.438333333333333</v>
      </c>
      <c r="G294" s="339">
        <f t="shared" si="165"/>
        <v>3.3527083333333332</v>
      </c>
      <c r="H294" s="339">
        <f t="shared" si="165"/>
        <v>4.4203703703703701</v>
      </c>
      <c r="I294" s="339">
        <f t="shared" si="165"/>
        <v>5.6520138888888889</v>
      </c>
    </row>
    <row r="295" spans="1:9" x14ac:dyDescent="0.2">
      <c r="A295" s="316"/>
      <c r="B295" s="624" t="str">
        <f>+$B$249</f>
        <v>5 Ltr Bottle</v>
      </c>
      <c r="C295" s="339">
        <f>+C284*C253/100000</f>
        <v>0.33833333333333326</v>
      </c>
      <c r="D295" s="339">
        <f t="shared" ref="D295:I295" si="166">+D284*D253/100000</f>
        <v>0.7536666666666666</v>
      </c>
      <c r="E295" s="339">
        <f t="shared" si="166"/>
        <v>1.26</v>
      </c>
      <c r="F295" s="339">
        <f t="shared" si="166"/>
        <v>1.8620000000000001</v>
      </c>
      <c r="G295" s="339">
        <f t="shared" si="166"/>
        <v>2.5409999999999999</v>
      </c>
      <c r="H295" s="339">
        <f t="shared" si="166"/>
        <v>3.3273333333333333</v>
      </c>
      <c r="I295" s="339">
        <f t="shared" si="166"/>
        <v>4.2720416666666665</v>
      </c>
    </row>
    <row r="296" spans="1:9" x14ac:dyDescent="0.2">
      <c r="A296" s="316"/>
      <c r="B296" s="624" t="str">
        <f>+$B$255</f>
        <v>1Ltr Pouch</v>
      </c>
      <c r="C296" s="339">
        <f>+C285*C259/100000</f>
        <v>0.24577777777777776</v>
      </c>
      <c r="D296" s="339">
        <f t="shared" ref="D296:I296" si="167">+D285*D259/100000</f>
        <v>0.56194444444444447</v>
      </c>
      <c r="E296" s="339">
        <f t="shared" si="167"/>
        <v>0.94499999999999995</v>
      </c>
      <c r="F296" s="339">
        <f t="shared" si="167"/>
        <v>1.403888888888889</v>
      </c>
      <c r="G296" s="339">
        <f t="shared" si="167"/>
        <v>1.925</v>
      </c>
      <c r="H296" s="339">
        <f t="shared" si="167"/>
        <v>2.5316666666666667</v>
      </c>
      <c r="I296" s="339">
        <f t="shared" si="167"/>
        <v>3.2297222222222226</v>
      </c>
    </row>
    <row r="297" spans="1:9" x14ac:dyDescent="0.2">
      <c r="A297" s="316"/>
      <c r="B297" s="624" t="str">
        <f>+$B$261</f>
        <v>500 ML Pouch</v>
      </c>
      <c r="C297" s="339">
        <f>+C286*C265/100000</f>
        <v>0.11599999999999998</v>
      </c>
      <c r="D297" s="339">
        <f t="shared" ref="D297:I297" si="168">+D286*D265/100000</f>
        <v>0.25499999999999995</v>
      </c>
      <c r="E297" s="339">
        <f t="shared" si="168"/>
        <v>0.40499999999999992</v>
      </c>
      <c r="F297" s="339">
        <f t="shared" si="168"/>
        <v>0.56999999999999995</v>
      </c>
      <c r="G297" s="339">
        <f t="shared" si="168"/>
        <v>0.74249999999999983</v>
      </c>
      <c r="H297" s="339">
        <f t="shared" si="168"/>
        <v>0.93</v>
      </c>
      <c r="I297" s="339">
        <f t="shared" si="168"/>
        <v>1.1325000000000001</v>
      </c>
    </row>
    <row r="298" spans="1:9" x14ac:dyDescent="0.2">
      <c r="A298" s="316"/>
      <c r="B298" s="316"/>
      <c r="C298" s="316"/>
      <c r="D298" s="344"/>
      <c r="E298" s="344"/>
      <c r="F298" s="344"/>
      <c r="G298" s="344"/>
      <c r="H298" s="344"/>
      <c r="I298" s="344"/>
    </row>
    <row r="299" spans="1:9" x14ac:dyDescent="0.2">
      <c r="A299" s="317" t="s">
        <v>168</v>
      </c>
      <c r="B299" s="317" t="str">
        <f>B268</f>
        <v>Oil Cake</v>
      </c>
      <c r="C299" s="316"/>
      <c r="D299" s="344"/>
      <c r="E299" s="344"/>
      <c r="F299" s="344"/>
      <c r="G299" s="344"/>
      <c r="H299" s="344"/>
      <c r="I299" s="344"/>
    </row>
    <row r="300" spans="1:9" x14ac:dyDescent="0.2">
      <c r="A300" s="316"/>
      <c r="B300" s="332" t="s">
        <v>670</v>
      </c>
      <c r="C300" s="339">
        <v>0</v>
      </c>
      <c r="D300" s="428">
        <f t="shared" ref="D300:I300" si="169">C301</f>
        <v>0</v>
      </c>
      <c r="E300" s="428">
        <f t="shared" si="169"/>
        <v>0</v>
      </c>
      <c r="F300" s="428">
        <f t="shared" si="169"/>
        <v>0</v>
      </c>
      <c r="G300" s="428">
        <f t="shared" si="169"/>
        <v>0</v>
      </c>
      <c r="H300" s="428">
        <f t="shared" si="169"/>
        <v>0</v>
      </c>
      <c r="I300" s="428">
        <f t="shared" si="169"/>
        <v>0</v>
      </c>
    </row>
    <row r="301" spans="1:9" x14ac:dyDescent="0.2">
      <c r="A301" s="316"/>
      <c r="B301" s="332" t="s">
        <v>671</v>
      </c>
      <c r="C301" s="339">
        <f t="shared" ref="C301:I301" si="170">C288*C272/100000</f>
        <v>0</v>
      </c>
      <c r="D301" s="428">
        <f t="shared" si="170"/>
        <v>0</v>
      </c>
      <c r="E301" s="428">
        <f t="shared" si="170"/>
        <v>0</v>
      </c>
      <c r="F301" s="428">
        <f t="shared" si="170"/>
        <v>0</v>
      </c>
      <c r="G301" s="428">
        <f t="shared" si="170"/>
        <v>0</v>
      </c>
      <c r="H301" s="428">
        <f t="shared" si="170"/>
        <v>0</v>
      </c>
      <c r="I301" s="428">
        <f t="shared" si="170"/>
        <v>0</v>
      </c>
    </row>
    <row r="302" spans="1:9" x14ac:dyDescent="0.2">
      <c r="A302" s="316"/>
      <c r="B302" s="316"/>
      <c r="C302" s="316"/>
      <c r="D302" s="344"/>
      <c r="E302" s="344"/>
      <c r="F302" s="344"/>
      <c r="G302" s="344"/>
      <c r="H302" s="344"/>
      <c r="I302" s="344"/>
    </row>
    <row r="303" spans="1:9" x14ac:dyDescent="0.2">
      <c r="A303" s="317" t="s">
        <v>169</v>
      </c>
      <c r="B303" s="317" t="str">
        <f>B274</f>
        <v>Waste</v>
      </c>
      <c r="C303" s="316"/>
      <c r="D303" s="344"/>
      <c r="E303" s="344"/>
      <c r="F303" s="344"/>
      <c r="G303" s="344"/>
      <c r="H303" s="344"/>
      <c r="I303" s="344"/>
    </row>
    <row r="304" spans="1:9" x14ac:dyDescent="0.2">
      <c r="A304" s="316"/>
      <c r="B304" s="332" t="s">
        <v>670</v>
      </c>
      <c r="C304" s="339">
        <v>0</v>
      </c>
      <c r="D304" s="428">
        <f t="shared" ref="D304:I304" si="171">C305</f>
        <v>0</v>
      </c>
      <c r="E304" s="428">
        <f t="shared" si="171"/>
        <v>0</v>
      </c>
      <c r="F304" s="428">
        <f t="shared" si="171"/>
        <v>0</v>
      </c>
      <c r="G304" s="428">
        <f t="shared" si="171"/>
        <v>0</v>
      </c>
      <c r="H304" s="428">
        <f t="shared" si="171"/>
        <v>0</v>
      </c>
      <c r="I304" s="428">
        <f t="shared" si="171"/>
        <v>0</v>
      </c>
    </row>
    <row r="305" spans="1:9" x14ac:dyDescent="0.2">
      <c r="A305" s="316"/>
      <c r="B305" s="332" t="s">
        <v>671</v>
      </c>
      <c r="C305" s="339">
        <f t="shared" ref="C305:I305" si="172">C289*C278/100000</f>
        <v>0</v>
      </c>
      <c r="D305" s="428">
        <f t="shared" si="172"/>
        <v>0</v>
      </c>
      <c r="E305" s="428">
        <f t="shared" si="172"/>
        <v>0</v>
      </c>
      <c r="F305" s="428">
        <f t="shared" si="172"/>
        <v>0</v>
      </c>
      <c r="G305" s="428">
        <f t="shared" si="172"/>
        <v>0</v>
      </c>
      <c r="H305" s="428">
        <f t="shared" si="172"/>
        <v>0</v>
      </c>
      <c r="I305" s="428">
        <f t="shared" si="172"/>
        <v>0</v>
      </c>
    </row>
    <row r="306" spans="1:9" x14ac:dyDescent="0.2">
      <c r="A306" s="316"/>
      <c r="B306" s="332"/>
      <c r="C306" s="339"/>
      <c r="D306" s="428"/>
      <c r="E306" s="428"/>
      <c r="F306" s="428"/>
      <c r="G306" s="428"/>
      <c r="H306" s="428"/>
      <c r="I306" s="428"/>
    </row>
    <row r="307" spans="1:9" x14ac:dyDescent="0.2">
      <c r="A307" s="316"/>
      <c r="B307" s="316"/>
      <c r="C307" s="316"/>
      <c r="D307" s="344"/>
      <c r="E307" s="344"/>
      <c r="F307" s="344"/>
      <c r="G307" s="344"/>
      <c r="H307" s="344"/>
      <c r="I307" s="344"/>
    </row>
    <row r="308" spans="1:9" x14ac:dyDescent="0.2">
      <c r="A308" s="343"/>
      <c r="B308" s="628" t="str">
        <f>+'Input Sheet'!B58</f>
        <v>Finished Goods Safflower Oil(MT)</v>
      </c>
      <c r="C308" s="326"/>
      <c r="D308" s="418"/>
      <c r="E308" s="418"/>
      <c r="F308" s="418"/>
      <c r="G308" s="418"/>
      <c r="H308" s="418"/>
      <c r="I308" s="418"/>
    </row>
    <row r="309" spans="1:9" x14ac:dyDescent="0.2">
      <c r="A309" s="338" t="s">
        <v>167</v>
      </c>
      <c r="B309" s="315" t="str">
        <f>+B162</f>
        <v>Safflower Oil</v>
      </c>
      <c r="C309" s="332"/>
      <c r="D309" s="389"/>
      <c r="E309" s="389"/>
      <c r="F309" s="389"/>
      <c r="G309" s="389"/>
      <c r="H309" s="344"/>
      <c r="I309" s="344"/>
    </row>
    <row r="310" spans="1:9" x14ac:dyDescent="0.2">
      <c r="A310" s="316"/>
      <c r="B310" s="316"/>
      <c r="C310" s="316"/>
      <c r="D310" s="344"/>
      <c r="E310" s="344"/>
      <c r="F310" s="344"/>
      <c r="G310" s="344"/>
      <c r="H310" s="344"/>
      <c r="I310" s="344"/>
    </row>
    <row r="311" spans="1:9" x14ac:dyDescent="0.2">
      <c r="A311" s="316"/>
      <c r="B311" s="315" t="str">
        <f>+$B$243</f>
        <v>1 Ltr Bottle</v>
      </c>
      <c r="C311" s="316"/>
      <c r="D311" s="344"/>
      <c r="E311" s="344"/>
      <c r="F311" s="344"/>
      <c r="G311" s="344"/>
      <c r="H311" s="344"/>
      <c r="I311" s="344"/>
    </row>
    <row r="312" spans="1:9" x14ac:dyDescent="0.2">
      <c r="A312" s="316"/>
      <c r="B312" s="332" t="str">
        <f>+$B$244</f>
        <v>Opn Stock</v>
      </c>
      <c r="C312" s="332">
        <f>0</f>
        <v>0</v>
      </c>
      <c r="D312" s="389">
        <f t="shared" ref="D312" si="173">C315</f>
        <v>142.59259259259258</v>
      </c>
      <c r="E312" s="389">
        <f t="shared" ref="E312" si="174">D315</f>
        <v>303.00925925925924</v>
      </c>
      <c r="F312" s="389">
        <f t="shared" ref="F312" si="175">E315</f>
        <v>481.25</v>
      </c>
      <c r="G312" s="389">
        <f t="shared" ref="G312" si="176">F315</f>
        <v>677.31481481481478</v>
      </c>
      <c r="H312" s="389">
        <f t="shared" ref="H312" si="177">G315</f>
        <v>891.2037037037037</v>
      </c>
      <c r="I312" s="389">
        <f t="shared" ref="I312" si="178">H315</f>
        <v>1122.9166666666667</v>
      </c>
    </row>
    <row r="313" spans="1:9" x14ac:dyDescent="0.2">
      <c r="A313" s="316"/>
      <c r="B313" s="332" t="str">
        <f>+$B$245</f>
        <v>Total Production</v>
      </c>
      <c r="C313" s="394">
        <f>+D649</f>
        <v>3422.2222222222222</v>
      </c>
      <c r="D313" s="394">
        <f t="shared" ref="D313:I313" si="179">+E649</f>
        <v>3850.0000000000005</v>
      </c>
      <c r="E313" s="394">
        <f t="shared" si="179"/>
        <v>4277.7777777777783</v>
      </c>
      <c r="F313" s="394">
        <f t="shared" si="179"/>
        <v>4705.5555555555557</v>
      </c>
      <c r="G313" s="394">
        <f t="shared" si="179"/>
        <v>5133.333333333333</v>
      </c>
      <c r="H313" s="394">
        <f t="shared" si="179"/>
        <v>5561.1111111111113</v>
      </c>
      <c r="I313" s="394">
        <f t="shared" si="179"/>
        <v>5988.8888888888887</v>
      </c>
    </row>
    <row r="314" spans="1:9" s="622" customFormat="1" x14ac:dyDescent="0.2">
      <c r="A314" s="360"/>
      <c r="B314" s="339" t="str">
        <f>+$B$246</f>
        <v>Sales</v>
      </c>
      <c r="C314" s="339">
        <f t="shared" ref="C314:I314" si="180">C312+C313-C315</f>
        <v>3279.6296296296296</v>
      </c>
      <c r="D314" s="339">
        <f t="shared" si="180"/>
        <v>3689.5833333333339</v>
      </c>
      <c r="E314" s="339">
        <f t="shared" si="180"/>
        <v>4099.5370370370374</v>
      </c>
      <c r="F314" s="339">
        <f t="shared" si="180"/>
        <v>4509.4907407407409</v>
      </c>
      <c r="G314" s="339">
        <f t="shared" si="180"/>
        <v>4919.4444444444443</v>
      </c>
      <c r="H314" s="339">
        <f t="shared" si="180"/>
        <v>5329.3981481481478</v>
      </c>
      <c r="I314" s="339">
        <f t="shared" si="180"/>
        <v>5739.3518518518522</v>
      </c>
    </row>
    <row r="315" spans="1:9" x14ac:dyDescent="0.2">
      <c r="A315" s="316"/>
      <c r="B315" s="332" t="str">
        <f>+$B$247</f>
        <v>Closing Stock</v>
      </c>
      <c r="C315" s="389">
        <f>+(C312+C313/'Input Sheet'!$D$64)</f>
        <v>142.59259259259258</v>
      </c>
      <c r="D315" s="389">
        <f>+(D312+D313/'Input Sheet'!$D$64)</f>
        <v>303.00925925925924</v>
      </c>
      <c r="E315" s="389">
        <f>+(E312+E313/'Input Sheet'!$D$64)</f>
        <v>481.25</v>
      </c>
      <c r="F315" s="389">
        <f>+(F312+F313/'Input Sheet'!$D$64)</f>
        <v>677.31481481481478</v>
      </c>
      <c r="G315" s="389">
        <f>+(G312+G313/'Input Sheet'!$D$64)</f>
        <v>891.2037037037037</v>
      </c>
      <c r="H315" s="389">
        <f>+(H312+H313/'Input Sheet'!$D$64)</f>
        <v>1122.9166666666667</v>
      </c>
      <c r="I315" s="389">
        <f>+(I312+I313/'Input Sheet'!$D$64)</f>
        <v>1372.4537037037037</v>
      </c>
    </row>
    <row r="316" spans="1:9" x14ac:dyDescent="0.2">
      <c r="A316" s="316"/>
      <c r="B316" s="332"/>
      <c r="C316" s="316"/>
      <c r="D316" s="344"/>
      <c r="E316" s="344"/>
      <c r="F316" s="344"/>
      <c r="G316" s="344"/>
      <c r="H316" s="344"/>
      <c r="I316" s="344"/>
    </row>
    <row r="317" spans="1:9" x14ac:dyDescent="0.2">
      <c r="A317" s="316"/>
      <c r="B317" s="315" t="str">
        <f>+$B$249</f>
        <v>5 Ltr Bottle</v>
      </c>
      <c r="C317" s="316"/>
      <c r="D317" s="344"/>
      <c r="E317" s="344"/>
      <c r="F317" s="344"/>
      <c r="G317" s="344"/>
      <c r="H317" s="344"/>
      <c r="I317" s="344"/>
    </row>
    <row r="318" spans="1:9" x14ac:dyDescent="0.2">
      <c r="A318" s="316"/>
      <c r="B318" s="332" t="str">
        <f>+$B$250</f>
        <v>Opn Stock</v>
      </c>
      <c r="C318" s="332">
        <f>0</f>
        <v>0</v>
      </c>
      <c r="D318" s="389">
        <f t="shared" ref="D318" si="181">C321</f>
        <v>23.333333333333332</v>
      </c>
      <c r="E318" s="389">
        <f t="shared" ref="E318" si="182">D321</f>
        <v>49.583333333333329</v>
      </c>
      <c r="F318" s="389">
        <f t="shared" ref="F318" si="183">E321</f>
        <v>78.75</v>
      </c>
      <c r="G318" s="389">
        <f t="shared" ref="G318" si="184">F321</f>
        <v>110.83333333333333</v>
      </c>
      <c r="H318" s="389">
        <f t="shared" ref="H318" si="185">G321</f>
        <v>145.83333333333331</v>
      </c>
      <c r="I318" s="389">
        <f t="shared" ref="I318" si="186">H321</f>
        <v>183.74999999999997</v>
      </c>
    </row>
    <row r="319" spans="1:9" x14ac:dyDescent="0.2">
      <c r="A319" s="316"/>
      <c r="B319" s="332" t="str">
        <f>+$B$251</f>
        <v>Total Production</v>
      </c>
      <c r="C319" s="316">
        <f>+D654</f>
        <v>560</v>
      </c>
      <c r="D319" s="316">
        <f t="shared" ref="D319:I319" si="187">+E654</f>
        <v>630</v>
      </c>
      <c r="E319" s="316">
        <f t="shared" si="187"/>
        <v>700</v>
      </c>
      <c r="F319" s="316">
        <f t="shared" si="187"/>
        <v>769.99999999999989</v>
      </c>
      <c r="G319" s="316">
        <f t="shared" si="187"/>
        <v>840</v>
      </c>
      <c r="H319" s="316">
        <f t="shared" si="187"/>
        <v>910</v>
      </c>
      <c r="I319" s="316">
        <f t="shared" si="187"/>
        <v>979.99999999999977</v>
      </c>
    </row>
    <row r="320" spans="1:9" x14ac:dyDescent="0.2">
      <c r="A320" s="316"/>
      <c r="B320" s="332" t="str">
        <f>+$B$252</f>
        <v>Sales</v>
      </c>
      <c r="C320" s="339">
        <f t="shared" ref="C320:I320" si="188">C318+C319-C321</f>
        <v>536.66666666666663</v>
      </c>
      <c r="D320" s="339">
        <f t="shared" si="188"/>
        <v>603.75</v>
      </c>
      <c r="E320" s="339">
        <f t="shared" si="188"/>
        <v>670.83333333333337</v>
      </c>
      <c r="F320" s="339">
        <f t="shared" si="188"/>
        <v>737.91666666666652</v>
      </c>
      <c r="G320" s="339">
        <f t="shared" si="188"/>
        <v>805</v>
      </c>
      <c r="H320" s="339">
        <f t="shared" si="188"/>
        <v>872.08333333333326</v>
      </c>
      <c r="I320" s="339">
        <f t="shared" si="188"/>
        <v>939.16666666666652</v>
      </c>
    </row>
    <row r="321" spans="1:9" x14ac:dyDescent="0.2">
      <c r="A321" s="316"/>
      <c r="B321" s="332" t="str">
        <f>+$B$253</f>
        <v>Closing Stock</v>
      </c>
      <c r="C321" s="389">
        <f>+(C318+C319/'Input Sheet'!$D$64)</f>
        <v>23.333333333333332</v>
      </c>
      <c r="D321" s="389">
        <f>+(D318+D319/'Input Sheet'!$D$64)</f>
        <v>49.583333333333329</v>
      </c>
      <c r="E321" s="389">
        <f>+(E318+E319/'Input Sheet'!$D$64)</f>
        <v>78.75</v>
      </c>
      <c r="F321" s="389">
        <f>+(F318+F319/'Input Sheet'!$D$64)</f>
        <v>110.83333333333333</v>
      </c>
      <c r="G321" s="389">
        <f>+(G318+G319/'Input Sheet'!$D$64)</f>
        <v>145.83333333333331</v>
      </c>
      <c r="H321" s="389">
        <f>+(H318+H319/'Input Sheet'!$D$64)</f>
        <v>183.74999999999997</v>
      </c>
      <c r="I321" s="389">
        <f>+(I318+I319/'Input Sheet'!$D$64)</f>
        <v>224.58333333333329</v>
      </c>
    </row>
    <row r="322" spans="1:9" x14ac:dyDescent="0.2">
      <c r="A322" s="316"/>
      <c r="B322" s="332"/>
      <c r="C322" s="316"/>
      <c r="D322" s="344"/>
      <c r="E322" s="344"/>
      <c r="F322" s="344"/>
      <c r="G322" s="344"/>
      <c r="H322" s="344"/>
      <c r="I322" s="344"/>
    </row>
    <row r="323" spans="1:9" x14ac:dyDescent="0.2">
      <c r="A323" s="316"/>
      <c r="B323" s="315" t="str">
        <f>+$B$255</f>
        <v>1Ltr Pouch</v>
      </c>
      <c r="C323" s="316"/>
      <c r="D323" s="344"/>
      <c r="E323" s="344"/>
      <c r="F323" s="344"/>
      <c r="G323" s="344"/>
      <c r="H323" s="344"/>
      <c r="I323" s="344"/>
    </row>
    <row r="324" spans="1:9" x14ac:dyDescent="0.2">
      <c r="A324" s="316"/>
      <c r="B324" s="332" t="str">
        <f>+$B$256</f>
        <v>Opn Stock</v>
      </c>
      <c r="C324" s="332">
        <f>0</f>
        <v>0</v>
      </c>
      <c r="D324" s="389">
        <f t="shared" ref="D324" si="189">C327</f>
        <v>77.777777777777771</v>
      </c>
      <c r="E324" s="389">
        <f t="shared" ref="E324" si="190">D327</f>
        <v>165.27777777777777</v>
      </c>
      <c r="F324" s="389">
        <f t="shared" ref="F324" si="191">E327</f>
        <v>262.5</v>
      </c>
      <c r="G324" s="389">
        <f t="shared" ref="G324" si="192">F327</f>
        <v>369.44444444444446</v>
      </c>
      <c r="H324" s="389">
        <f t="shared" ref="H324" si="193">G327</f>
        <v>486.11111111111109</v>
      </c>
      <c r="I324" s="389">
        <f t="shared" ref="I324" si="194">H327</f>
        <v>612.5</v>
      </c>
    </row>
    <row r="325" spans="1:9" x14ac:dyDescent="0.2">
      <c r="A325" s="316"/>
      <c r="B325" s="332" t="str">
        <f>+$B$257</f>
        <v>Total Production</v>
      </c>
      <c r="C325" s="344">
        <f>+D672</f>
        <v>1866.6666666666665</v>
      </c>
      <c r="D325" s="344">
        <f t="shared" ref="D325:I325" si="195">+E672</f>
        <v>2099.9999999999995</v>
      </c>
      <c r="E325" s="344">
        <f t="shared" si="195"/>
        <v>2333.333333333333</v>
      </c>
      <c r="F325" s="344">
        <f t="shared" si="195"/>
        <v>2566.6666666666665</v>
      </c>
      <c r="G325" s="344">
        <f t="shared" si="195"/>
        <v>2799.9999999999995</v>
      </c>
      <c r="H325" s="344">
        <f t="shared" si="195"/>
        <v>3033.333333333333</v>
      </c>
      <c r="I325" s="344">
        <f t="shared" si="195"/>
        <v>3266.6666666666665</v>
      </c>
    </row>
    <row r="326" spans="1:9" x14ac:dyDescent="0.2">
      <c r="A326" s="316"/>
      <c r="B326" s="332" t="str">
        <f>+$B$258</f>
        <v>Sales</v>
      </c>
      <c r="C326" s="339">
        <f t="shared" ref="C326:I326" si="196">C324+C325-C327</f>
        <v>1788.8888888888887</v>
      </c>
      <c r="D326" s="339">
        <f t="shared" si="196"/>
        <v>2012.4999999999995</v>
      </c>
      <c r="E326" s="339">
        <f t="shared" si="196"/>
        <v>2236.1111111111109</v>
      </c>
      <c r="F326" s="339">
        <f t="shared" si="196"/>
        <v>2459.7222222222222</v>
      </c>
      <c r="G326" s="339">
        <f t="shared" si="196"/>
        <v>2683.333333333333</v>
      </c>
      <c r="H326" s="339">
        <f t="shared" si="196"/>
        <v>2906.9444444444443</v>
      </c>
      <c r="I326" s="339">
        <f t="shared" si="196"/>
        <v>3130.5555555555557</v>
      </c>
    </row>
    <row r="327" spans="1:9" x14ac:dyDescent="0.2">
      <c r="A327" s="316"/>
      <c r="B327" s="332" t="str">
        <f>+$B$259</f>
        <v>Closing Stock</v>
      </c>
      <c r="C327" s="389">
        <f>+(C324+C325/'Input Sheet'!$D$64)</f>
        <v>77.777777777777771</v>
      </c>
      <c r="D327" s="389">
        <f>+(D324+D325/'Input Sheet'!$D$64)</f>
        <v>165.27777777777777</v>
      </c>
      <c r="E327" s="389">
        <f>+(E324+E325/'Input Sheet'!$D$64)</f>
        <v>262.5</v>
      </c>
      <c r="F327" s="389">
        <f>+(F324+F325/'Input Sheet'!$D$64)</f>
        <v>369.44444444444446</v>
      </c>
      <c r="G327" s="389">
        <f>+(G324+G325/'Input Sheet'!$D$64)</f>
        <v>486.11111111111109</v>
      </c>
      <c r="H327" s="389">
        <f>+(H324+H325/'Input Sheet'!$D$64)</f>
        <v>612.5</v>
      </c>
      <c r="I327" s="389">
        <f>+(I324+I325/'Input Sheet'!$D$64)</f>
        <v>748.61111111111109</v>
      </c>
    </row>
    <row r="328" spans="1:9" x14ac:dyDescent="0.2">
      <c r="A328" s="316"/>
      <c r="B328" s="332"/>
      <c r="C328" s="316"/>
      <c r="D328" s="344"/>
      <c r="E328" s="344"/>
      <c r="F328" s="344"/>
      <c r="G328" s="344"/>
      <c r="H328" s="344"/>
      <c r="I328" s="344"/>
    </row>
    <row r="329" spans="1:9" x14ac:dyDescent="0.2">
      <c r="A329" s="316"/>
      <c r="B329" s="315" t="str">
        <f>+$B$261</f>
        <v>500 ML Pouch</v>
      </c>
      <c r="C329" s="316"/>
      <c r="D329" s="344"/>
      <c r="E329" s="344"/>
      <c r="F329" s="344"/>
      <c r="G329" s="344"/>
      <c r="H329" s="344"/>
      <c r="I329" s="344"/>
    </row>
    <row r="330" spans="1:9" x14ac:dyDescent="0.2">
      <c r="A330" s="316"/>
      <c r="B330" s="332" t="str">
        <f>+$B$262</f>
        <v>Opn Stock</v>
      </c>
      <c r="C330" s="332">
        <f>0</f>
        <v>0</v>
      </c>
      <c r="D330" s="389">
        <f t="shared" ref="D330" si="197">C333</f>
        <v>66.666666666666657</v>
      </c>
      <c r="E330" s="389">
        <f t="shared" ref="E330" si="198">D333</f>
        <v>141.66666666666663</v>
      </c>
      <c r="F330" s="389">
        <f t="shared" ref="F330" si="199">E333</f>
        <v>224.99999999999994</v>
      </c>
      <c r="G330" s="389">
        <f t="shared" ref="G330" si="200">F333</f>
        <v>316.66666666666663</v>
      </c>
      <c r="H330" s="389">
        <f t="shared" ref="H330" si="201">G333</f>
        <v>416.66666666666663</v>
      </c>
      <c r="I330" s="389">
        <f t="shared" ref="I330" si="202">H333</f>
        <v>525</v>
      </c>
    </row>
    <row r="331" spans="1:9" x14ac:dyDescent="0.2">
      <c r="A331" s="316"/>
      <c r="B331" s="332" t="str">
        <f>+$B$263</f>
        <v>Total Production</v>
      </c>
      <c r="C331" s="344">
        <f>+D677</f>
        <v>1599.9999999999998</v>
      </c>
      <c r="D331" s="344">
        <f t="shared" ref="D331:I331" si="203">+E677</f>
        <v>1799.9999999999998</v>
      </c>
      <c r="E331" s="344">
        <f t="shared" si="203"/>
        <v>1999.9999999999998</v>
      </c>
      <c r="F331" s="344">
        <f t="shared" si="203"/>
        <v>2200</v>
      </c>
      <c r="G331" s="344">
        <f t="shared" si="203"/>
        <v>2399.9999999999995</v>
      </c>
      <c r="H331" s="344">
        <f t="shared" si="203"/>
        <v>2599.9999999999995</v>
      </c>
      <c r="I331" s="344">
        <f t="shared" si="203"/>
        <v>2800</v>
      </c>
    </row>
    <row r="332" spans="1:9" x14ac:dyDescent="0.2">
      <c r="A332" s="316"/>
      <c r="B332" s="332" t="str">
        <f>+$B$264</f>
        <v>Sales</v>
      </c>
      <c r="C332" s="339">
        <f t="shared" ref="C332:I332" si="204">C330+C331-C333</f>
        <v>1533.333333333333</v>
      </c>
      <c r="D332" s="339">
        <f t="shared" si="204"/>
        <v>1725</v>
      </c>
      <c r="E332" s="339">
        <f t="shared" si="204"/>
        <v>1916.6666666666665</v>
      </c>
      <c r="F332" s="339">
        <f t="shared" si="204"/>
        <v>2108.3333333333335</v>
      </c>
      <c r="G332" s="339">
        <f t="shared" si="204"/>
        <v>2299.9999999999995</v>
      </c>
      <c r="H332" s="339">
        <f t="shared" si="204"/>
        <v>2491.6666666666661</v>
      </c>
      <c r="I332" s="339">
        <f t="shared" si="204"/>
        <v>2683.3333333333335</v>
      </c>
    </row>
    <row r="333" spans="1:9" x14ac:dyDescent="0.2">
      <c r="A333" s="316"/>
      <c r="B333" s="332" t="str">
        <f>+$B$265</f>
        <v>Closing Stock</v>
      </c>
      <c r="C333" s="389">
        <f>+(C330+C331/'Input Sheet'!$D$64)</f>
        <v>66.666666666666657</v>
      </c>
      <c r="D333" s="389">
        <f>+(D330+D331/'Input Sheet'!$D$64)</f>
        <v>141.66666666666663</v>
      </c>
      <c r="E333" s="389">
        <f>+(E330+E331/'Input Sheet'!$D$64)</f>
        <v>224.99999999999994</v>
      </c>
      <c r="F333" s="389">
        <f>+(F330+F331/'Input Sheet'!$D$64)</f>
        <v>316.66666666666663</v>
      </c>
      <c r="G333" s="389">
        <f>+(G330+G331/'Input Sheet'!$D$64)</f>
        <v>416.66666666666663</v>
      </c>
      <c r="H333" s="389">
        <f>+(H330+H331/'Input Sheet'!$D$64)</f>
        <v>525</v>
      </c>
      <c r="I333" s="389">
        <f>+(I330+I331/'Input Sheet'!$D$64)</f>
        <v>641.66666666666663</v>
      </c>
    </row>
    <row r="334" spans="1:9" x14ac:dyDescent="0.2">
      <c r="A334" s="316"/>
      <c r="B334" s="316"/>
      <c r="C334" s="316"/>
      <c r="D334" s="344"/>
      <c r="E334" s="344"/>
      <c r="F334" s="344"/>
      <c r="G334" s="344"/>
      <c r="H334" s="344"/>
      <c r="I334" s="344"/>
    </row>
    <row r="335" spans="1:9" x14ac:dyDescent="0.2">
      <c r="A335" s="316"/>
      <c r="B335" s="316"/>
      <c r="C335" s="316"/>
      <c r="D335" s="344"/>
      <c r="E335" s="344"/>
      <c r="F335" s="344"/>
      <c r="G335" s="344"/>
      <c r="H335" s="344"/>
      <c r="I335" s="344"/>
    </row>
    <row r="336" spans="1:9" x14ac:dyDescent="0.2">
      <c r="A336" s="338" t="s">
        <v>168</v>
      </c>
      <c r="B336" s="317" t="str">
        <f>+B183</f>
        <v>Oil Cake</v>
      </c>
      <c r="C336" s="317"/>
      <c r="D336" s="341"/>
      <c r="E336" s="341"/>
      <c r="F336" s="341"/>
      <c r="G336" s="341"/>
      <c r="H336" s="341"/>
      <c r="I336" s="341"/>
    </row>
    <row r="337" spans="1:9" x14ac:dyDescent="0.2">
      <c r="A337" s="316"/>
      <c r="B337" s="332" t="s">
        <v>666</v>
      </c>
      <c r="C337" s="332">
        <f>0</f>
        <v>0</v>
      </c>
      <c r="D337" s="389">
        <f t="shared" ref="D337:I337" si="205">C340</f>
        <v>0</v>
      </c>
      <c r="E337" s="389">
        <f t="shared" si="205"/>
        <v>0</v>
      </c>
      <c r="F337" s="389">
        <f t="shared" si="205"/>
        <v>0</v>
      </c>
      <c r="G337" s="389">
        <f t="shared" si="205"/>
        <v>0</v>
      </c>
      <c r="H337" s="389">
        <f t="shared" si="205"/>
        <v>0</v>
      </c>
      <c r="I337" s="389">
        <f t="shared" si="205"/>
        <v>0</v>
      </c>
    </row>
    <row r="338" spans="1:9" x14ac:dyDescent="0.2">
      <c r="A338" s="316"/>
      <c r="B338" s="332" t="s">
        <v>667</v>
      </c>
      <c r="C338" s="333">
        <f>+B46+B28</f>
        <v>44.325000000000003</v>
      </c>
      <c r="D338" s="333">
        <f t="shared" ref="D338:I338" si="206">+C46+C28</f>
        <v>49.25</v>
      </c>
      <c r="E338" s="333">
        <f t="shared" si="206"/>
        <v>53.175000000000004</v>
      </c>
      <c r="F338" s="333">
        <f t="shared" si="206"/>
        <v>58.100000000000009</v>
      </c>
      <c r="G338" s="333">
        <f t="shared" si="206"/>
        <v>63.025000000000013</v>
      </c>
      <c r="H338" s="333">
        <f t="shared" si="206"/>
        <v>67.950000000000017</v>
      </c>
      <c r="I338" s="333">
        <f t="shared" si="206"/>
        <v>72.875000000000028</v>
      </c>
    </row>
    <row r="339" spans="1:9" x14ac:dyDescent="0.2">
      <c r="A339" s="316"/>
      <c r="B339" s="332" t="s">
        <v>668</v>
      </c>
      <c r="C339" s="332">
        <f t="shared" ref="C339:I339" si="207">C337+C338-C340</f>
        <v>44.325000000000003</v>
      </c>
      <c r="D339" s="389">
        <f t="shared" si="207"/>
        <v>49.25</v>
      </c>
      <c r="E339" s="389">
        <f t="shared" si="207"/>
        <v>53.175000000000004</v>
      </c>
      <c r="F339" s="389">
        <f t="shared" si="207"/>
        <v>58.100000000000009</v>
      </c>
      <c r="G339" s="389">
        <f t="shared" si="207"/>
        <v>63.025000000000013</v>
      </c>
      <c r="H339" s="389">
        <f t="shared" si="207"/>
        <v>67.950000000000017</v>
      </c>
      <c r="I339" s="389">
        <f t="shared" si="207"/>
        <v>72.875000000000028</v>
      </c>
    </row>
    <row r="340" spans="1:9" x14ac:dyDescent="0.2">
      <c r="A340" s="316"/>
      <c r="B340" s="332" t="s">
        <v>333</v>
      </c>
      <c r="C340" s="332">
        <v>0</v>
      </c>
      <c r="D340" s="389">
        <v>0</v>
      </c>
      <c r="E340" s="389">
        <v>0</v>
      </c>
      <c r="F340" s="389">
        <v>0</v>
      </c>
      <c r="G340" s="389">
        <v>0</v>
      </c>
      <c r="H340" s="389">
        <v>0</v>
      </c>
      <c r="I340" s="389">
        <v>0</v>
      </c>
    </row>
    <row r="341" spans="1:9" x14ac:dyDescent="0.2">
      <c r="A341" s="316"/>
      <c r="B341" s="316"/>
      <c r="C341" s="316"/>
      <c r="D341" s="344"/>
      <c r="E341" s="344"/>
      <c r="F341" s="344"/>
      <c r="G341" s="344"/>
      <c r="H341" s="344"/>
      <c r="I341" s="344"/>
    </row>
    <row r="342" spans="1:9" x14ac:dyDescent="0.2">
      <c r="A342" s="316"/>
      <c r="B342" s="316"/>
      <c r="C342" s="316"/>
      <c r="D342" s="344"/>
      <c r="E342" s="344"/>
      <c r="F342" s="344"/>
      <c r="G342" s="344"/>
      <c r="H342" s="344"/>
      <c r="I342" s="344"/>
    </row>
    <row r="343" spans="1:9" x14ac:dyDescent="0.2">
      <c r="A343" s="316"/>
      <c r="B343" s="315" t="s">
        <v>669</v>
      </c>
      <c r="C343" s="332"/>
      <c r="D343" s="344"/>
      <c r="E343" s="344"/>
      <c r="F343" s="344"/>
      <c r="G343" s="344"/>
      <c r="H343" s="344"/>
      <c r="I343" s="344"/>
    </row>
    <row r="344" spans="1:9" x14ac:dyDescent="0.2">
      <c r="A344" s="343" t="s">
        <v>167</v>
      </c>
      <c r="B344" s="328" t="str">
        <f>+B309</f>
        <v>Safflower Oil</v>
      </c>
      <c r="C344" s="582">
        <f>+'Input Sheet'!C102</f>
        <v>0</v>
      </c>
      <c r="D344" s="582">
        <f>+'Input Sheet'!D102</f>
        <v>0</v>
      </c>
      <c r="E344" s="582">
        <f>+'Input Sheet'!E102</f>
        <v>0</v>
      </c>
      <c r="F344" s="582">
        <f>+'Input Sheet'!F102</f>
        <v>0</v>
      </c>
      <c r="G344" s="582">
        <f>+'Input Sheet'!G102</f>
        <v>0</v>
      </c>
      <c r="H344" s="582">
        <f>+'Input Sheet'!H102</f>
        <v>0</v>
      </c>
      <c r="I344" s="582">
        <f>+'Input Sheet'!I102</f>
        <v>0</v>
      </c>
    </row>
    <row r="345" spans="1:9" hidden="1" x14ac:dyDescent="0.2">
      <c r="A345" s="343" t="s">
        <v>168</v>
      </c>
      <c r="B345" s="328" t="str">
        <f>B336</f>
        <v>Oil Cake</v>
      </c>
      <c r="C345" s="515">
        <v>0</v>
      </c>
      <c r="D345" s="516">
        <f t="shared" ref="D345:I345" si="208">ROUND(C345*1.05,-1)</f>
        <v>0</v>
      </c>
      <c r="E345" s="516">
        <f t="shared" si="208"/>
        <v>0</v>
      </c>
      <c r="F345" s="516">
        <f t="shared" si="208"/>
        <v>0</v>
      </c>
      <c r="G345" s="516">
        <f t="shared" si="208"/>
        <v>0</v>
      </c>
      <c r="H345" s="516">
        <f t="shared" si="208"/>
        <v>0</v>
      </c>
      <c r="I345" s="516">
        <f t="shared" si="208"/>
        <v>0</v>
      </c>
    </row>
    <row r="346" spans="1:9" x14ac:dyDescent="0.2">
      <c r="A346" s="316"/>
      <c r="B346" s="624" t="str">
        <f>+$B$243</f>
        <v>1 Ltr Bottle</v>
      </c>
      <c r="C346" s="344">
        <f>+'Input Sheet'!C103</f>
        <v>165</v>
      </c>
      <c r="D346" s="344">
        <f>+'Input Sheet'!D103</f>
        <v>170</v>
      </c>
      <c r="E346" s="344">
        <f>+'Input Sheet'!E103</f>
        <v>180</v>
      </c>
      <c r="F346" s="344">
        <f>+'Input Sheet'!F103</f>
        <v>190</v>
      </c>
      <c r="G346" s="344">
        <f>+'Input Sheet'!G103</f>
        <v>200</v>
      </c>
      <c r="H346" s="344">
        <f>+'Input Sheet'!H103</f>
        <v>210</v>
      </c>
      <c r="I346" s="344">
        <f>+'Input Sheet'!I103</f>
        <v>220</v>
      </c>
    </row>
    <row r="347" spans="1:9" x14ac:dyDescent="0.2">
      <c r="A347" s="316"/>
      <c r="B347" s="624" t="str">
        <f>+$B$249</f>
        <v>5 Ltr Bottle</v>
      </c>
      <c r="C347" s="344">
        <f>+'Input Sheet'!C104</f>
        <v>775</v>
      </c>
      <c r="D347" s="344">
        <f>+'Input Sheet'!D104</f>
        <v>810</v>
      </c>
      <c r="E347" s="344">
        <f>+'Input Sheet'!E104</f>
        <v>850</v>
      </c>
      <c r="F347" s="344">
        <f>+'Input Sheet'!F104</f>
        <v>890</v>
      </c>
      <c r="G347" s="344">
        <f>+'Input Sheet'!G104</f>
        <v>930</v>
      </c>
      <c r="H347" s="344">
        <f>+'Input Sheet'!H104</f>
        <v>980</v>
      </c>
      <c r="I347" s="344">
        <f>+'Input Sheet'!I104</f>
        <v>1030</v>
      </c>
    </row>
    <row r="348" spans="1:9" x14ac:dyDescent="0.2">
      <c r="A348" s="316"/>
      <c r="B348" s="624" t="str">
        <f>+$B$255</f>
        <v>1Ltr Pouch</v>
      </c>
      <c r="C348" s="344">
        <f>+'Input Sheet'!C105</f>
        <v>168</v>
      </c>
      <c r="D348" s="344">
        <f>+'Input Sheet'!D105</f>
        <v>180</v>
      </c>
      <c r="E348" s="344">
        <f>+'Input Sheet'!E105</f>
        <v>190</v>
      </c>
      <c r="F348" s="344">
        <f>+'Input Sheet'!F105</f>
        <v>200</v>
      </c>
      <c r="G348" s="344">
        <f>+'Input Sheet'!G105</f>
        <v>210</v>
      </c>
      <c r="H348" s="344">
        <f>+'Input Sheet'!H105</f>
        <v>220</v>
      </c>
      <c r="I348" s="344">
        <f>+'Input Sheet'!I105</f>
        <v>230</v>
      </c>
    </row>
    <row r="349" spans="1:9" x14ac:dyDescent="0.2">
      <c r="A349" s="316"/>
      <c r="B349" s="624" t="str">
        <f>+$B$261</f>
        <v>500 ML Pouch</v>
      </c>
      <c r="C349" s="344">
        <f>+'Input Sheet'!C106</f>
        <v>85</v>
      </c>
      <c r="D349" s="344">
        <f>+'Input Sheet'!D106</f>
        <v>90</v>
      </c>
      <c r="E349" s="344">
        <f>+'Input Sheet'!E106</f>
        <v>90</v>
      </c>
      <c r="F349" s="344">
        <f>+'Input Sheet'!F106</f>
        <v>90</v>
      </c>
      <c r="G349" s="344">
        <f>+'Input Sheet'!G106</f>
        <v>90</v>
      </c>
      <c r="H349" s="344">
        <f>+'Input Sheet'!H106</f>
        <v>90</v>
      </c>
      <c r="I349" s="344">
        <f>+'Input Sheet'!I106</f>
        <v>90</v>
      </c>
    </row>
    <row r="350" spans="1:9" x14ac:dyDescent="0.2">
      <c r="A350" s="316"/>
      <c r="B350" s="316"/>
      <c r="C350" s="316"/>
      <c r="D350" s="344"/>
      <c r="E350" s="344"/>
      <c r="F350" s="344"/>
      <c r="G350" s="344"/>
      <c r="H350" s="344"/>
      <c r="I350" s="344"/>
    </row>
    <row r="351" spans="1:9" x14ac:dyDescent="0.2">
      <c r="A351" s="317" t="s">
        <v>167</v>
      </c>
      <c r="B351" s="629" t="str">
        <f>B344</f>
        <v>Safflower Oil</v>
      </c>
      <c r="C351" s="316"/>
      <c r="D351" s="344"/>
      <c r="E351" s="344"/>
      <c r="F351" s="344"/>
      <c r="G351" s="344"/>
      <c r="H351" s="344"/>
      <c r="I351" s="344"/>
    </row>
    <row r="352" spans="1:9" x14ac:dyDescent="0.2">
      <c r="A352" s="316"/>
      <c r="B352" s="332" t="s">
        <v>670</v>
      </c>
      <c r="C352" s="339">
        <v>0</v>
      </c>
      <c r="D352" s="428">
        <f t="shared" ref="D352:I352" si="209">C353</f>
        <v>0.60344444444444445</v>
      </c>
      <c r="E352" s="428">
        <f t="shared" si="209"/>
        <v>1.3417407407407405</v>
      </c>
      <c r="F352" s="428">
        <f t="shared" si="209"/>
        <v>2.2368749999999999</v>
      </c>
      <c r="G352" s="428">
        <f t="shared" si="209"/>
        <v>3.2972037037037039</v>
      </c>
      <c r="H352" s="428">
        <f t="shared" si="209"/>
        <v>4.5344907407407398</v>
      </c>
      <c r="I352" s="428">
        <f t="shared" si="209"/>
        <v>5.9788750000000004</v>
      </c>
    </row>
    <row r="353" spans="1:9" x14ac:dyDescent="0.2">
      <c r="A353" s="316"/>
      <c r="B353" s="332" t="s">
        <v>671</v>
      </c>
      <c r="C353" s="339">
        <f>SUM(C354:C357)</f>
        <v>0.60344444444444445</v>
      </c>
      <c r="D353" s="339">
        <f t="shared" ref="D353:I353" si="210">SUM(D354:D357)</f>
        <v>1.3417407407407405</v>
      </c>
      <c r="E353" s="339">
        <f t="shared" si="210"/>
        <v>2.2368749999999999</v>
      </c>
      <c r="F353" s="339">
        <f t="shared" si="210"/>
        <v>3.2972037037037039</v>
      </c>
      <c r="G353" s="339">
        <f t="shared" si="210"/>
        <v>4.5344907407407398</v>
      </c>
      <c r="H353" s="339">
        <f t="shared" si="210"/>
        <v>5.9788750000000004</v>
      </c>
      <c r="I353" s="339">
        <f t="shared" si="210"/>
        <v>7.6319120370370355</v>
      </c>
    </row>
    <row r="354" spans="1:9" x14ac:dyDescent="0.2">
      <c r="A354" s="316"/>
      <c r="B354" s="624" t="str">
        <f>+$B$243</f>
        <v>1 Ltr Bottle</v>
      </c>
      <c r="C354" s="339">
        <f>+C346*C315/100000</f>
        <v>0.23527777777777778</v>
      </c>
      <c r="D354" s="339">
        <f t="shared" ref="D354:I354" si="211">+D346*D315/100000</f>
        <v>0.51511574074074074</v>
      </c>
      <c r="E354" s="339">
        <f t="shared" si="211"/>
        <v>0.86624999999999996</v>
      </c>
      <c r="F354" s="339">
        <f t="shared" si="211"/>
        <v>1.2868981481481481</v>
      </c>
      <c r="G354" s="339">
        <f t="shared" si="211"/>
        <v>1.7824074074074072</v>
      </c>
      <c r="H354" s="339">
        <f t="shared" si="211"/>
        <v>2.3581250000000002</v>
      </c>
      <c r="I354" s="339">
        <f t="shared" si="211"/>
        <v>3.0193981481481482</v>
      </c>
    </row>
    <row r="355" spans="1:9" x14ac:dyDescent="0.2">
      <c r="A355" s="316"/>
      <c r="B355" s="624" t="str">
        <f>+$B$249</f>
        <v>5 Ltr Bottle</v>
      </c>
      <c r="C355" s="339">
        <f>+C347*C321/100000</f>
        <v>0.18083333333333332</v>
      </c>
      <c r="D355" s="339">
        <f t="shared" ref="D355:I355" si="212">+D347*D321/100000</f>
        <v>0.40162499999999995</v>
      </c>
      <c r="E355" s="339">
        <f t="shared" si="212"/>
        <v>0.66937500000000005</v>
      </c>
      <c r="F355" s="339">
        <f t="shared" si="212"/>
        <v>0.98641666666666661</v>
      </c>
      <c r="G355" s="339">
        <f t="shared" si="212"/>
        <v>1.3562499999999997</v>
      </c>
      <c r="H355" s="339">
        <f t="shared" si="212"/>
        <v>1.8007499999999996</v>
      </c>
      <c r="I355" s="339">
        <f t="shared" si="212"/>
        <v>2.3132083333333329</v>
      </c>
    </row>
    <row r="356" spans="1:9" x14ac:dyDescent="0.2">
      <c r="A356" s="316"/>
      <c r="B356" s="624" t="str">
        <f>+$B$255</f>
        <v>1Ltr Pouch</v>
      </c>
      <c r="C356" s="339">
        <f>+C348*C327/100000</f>
        <v>0.13066666666666665</v>
      </c>
      <c r="D356" s="339">
        <f t="shared" ref="D356:I356" si="213">+D348*D327/100000</f>
        <v>0.29749999999999999</v>
      </c>
      <c r="E356" s="339">
        <f t="shared" si="213"/>
        <v>0.49875000000000003</v>
      </c>
      <c r="F356" s="339">
        <f t="shared" si="213"/>
        <v>0.73888888888888893</v>
      </c>
      <c r="G356" s="339">
        <f t="shared" si="213"/>
        <v>1.0208333333333333</v>
      </c>
      <c r="H356" s="339">
        <f t="shared" si="213"/>
        <v>1.3474999999999999</v>
      </c>
      <c r="I356" s="339">
        <f t="shared" si="213"/>
        <v>1.7218055555555556</v>
      </c>
    </row>
    <row r="357" spans="1:9" x14ac:dyDescent="0.2">
      <c r="A357" s="316"/>
      <c r="B357" s="624" t="str">
        <f>+$B$261</f>
        <v>500 ML Pouch</v>
      </c>
      <c r="C357" s="339">
        <f>+C349*C333/100000</f>
        <v>5.6666666666666664E-2</v>
      </c>
      <c r="D357" s="339">
        <f t="shared" ref="D357:I357" si="214">+D349*D333/100000</f>
        <v>0.12749999999999997</v>
      </c>
      <c r="E357" s="339">
        <f t="shared" si="214"/>
        <v>0.20249999999999996</v>
      </c>
      <c r="F357" s="339">
        <f t="shared" si="214"/>
        <v>0.28499999999999998</v>
      </c>
      <c r="G357" s="339">
        <f t="shared" si="214"/>
        <v>0.375</v>
      </c>
      <c r="H357" s="339">
        <f t="shared" si="214"/>
        <v>0.47249999999999998</v>
      </c>
      <c r="I357" s="339">
        <f t="shared" si="214"/>
        <v>0.57750000000000001</v>
      </c>
    </row>
    <row r="358" spans="1:9" x14ac:dyDescent="0.2">
      <c r="A358" s="316"/>
      <c r="B358" s="316"/>
      <c r="C358" s="316"/>
      <c r="D358" s="344"/>
      <c r="E358" s="344"/>
      <c r="F358" s="344"/>
      <c r="G358" s="344"/>
      <c r="H358" s="344"/>
      <c r="I358" s="344"/>
    </row>
    <row r="359" spans="1:9" x14ac:dyDescent="0.2">
      <c r="A359" s="317" t="s">
        <v>168</v>
      </c>
      <c r="B359" s="317" t="str">
        <f>B336</f>
        <v>Oil Cake</v>
      </c>
      <c r="C359" s="316"/>
      <c r="D359" s="344"/>
      <c r="E359" s="344"/>
      <c r="F359" s="344"/>
      <c r="G359" s="625"/>
      <c r="H359" s="344"/>
      <c r="I359" s="344"/>
    </row>
    <row r="360" spans="1:9" x14ac:dyDescent="0.2">
      <c r="A360" s="316"/>
      <c r="B360" s="332" t="s">
        <v>670</v>
      </c>
      <c r="C360" s="339">
        <v>0</v>
      </c>
      <c r="D360" s="428">
        <f t="shared" ref="D360:I360" si="215">C361</f>
        <v>0</v>
      </c>
      <c r="E360" s="428">
        <f t="shared" si="215"/>
        <v>0</v>
      </c>
      <c r="F360" s="428">
        <f t="shared" si="215"/>
        <v>0</v>
      </c>
      <c r="G360" s="428">
        <f t="shared" si="215"/>
        <v>0</v>
      </c>
      <c r="H360" s="428">
        <f t="shared" si="215"/>
        <v>0</v>
      </c>
      <c r="I360" s="428">
        <f t="shared" si="215"/>
        <v>0</v>
      </c>
    </row>
    <row r="361" spans="1:9" x14ac:dyDescent="0.2">
      <c r="A361" s="316"/>
      <c r="B361" s="332" t="s">
        <v>671</v>
      </c>
      <c r="C361" s="339">
        <f t="shared" ref="C361:I361" si="216">C345*C340/100000</f>
        <v>0</v>
      </c>
      <c r="D361" s="428">
        <f t="shared" si="216"/>
        <v>0</v>
      </c>
      <c r="E361" s="428">
        <f t="shared" si="216"/>
        <v>0</v>
      </c>
      <c r="F361" s="428">
        <f t="shared" si="216"/>
        <v>0</v>
      </c>
      <c r="G361" s="428">
        <f t="shared" si="216"/>
        <v>0</v>
      </c>
      <c r="H361" s="428">
        <f t="shared" si="216"/>
        <v>0</v>
      </c>
      <c r="I361" s="428">
        <f t="shared" si="216"/>
        <v>0</v>
      </c>
    </row>
    <row r="362" spans="1:9" x14ac:dyDescent="0.2">
      <c r="A362" s="316"/>
      <c r="B362" s="316"/>
      <c r="C362" s="316"/>
      <c r="D362" s="344"/>
      <c r="E362" s="344"/>
      <c r="F362" s="344"/>
      <c r="G362" s="344"/>
      <c r="H362" s="344"/>
      <c r="I362" s="344"/>
    </row>
    <row r="363" spans="1:9" x14ac:dyDescent="0.2">
      <c r="A363" s="343"/>
      <c r="B363" s="628" t="str">
        <f>+'Input Sheet'!B59</f>
        <v>Finished Goods  -Musterd Oil(MT)</v>
      </c>
      <c r="C363" s="326"/>
      <c r="D363" s="418"/>
      <c r="E363" s="418"/>
      <c r="F363" s="418"/>
      <c r="G363" s="418"/>
      <c r="H363" s="418"/>
      <c r="I363" s="418"/>
    </row>
    <row r="364" spans="1:9" x14ac:dyDescent="0.2">
      <c r="A364" s="338" t="s">
        <v>167</v>
      </c>
      <c r="B364" s="315" t="str">
        <f>+B188</f>
        <v>Mustard  Oil</v>
      </c>
      <c r="C364" s="332"/>
      <c r="D364" s="389"/>
      <c r="E364" s="389"/>
      <c r="F364" s="389"/>
      <c r="G364" s="389"/>
      <c r="H364" s="344"/>
      <c r="I364" s="344"/>
    </row>
    <row r="365" spans="1:9" x14ac:dyDescent="0.2">
      <c r="A365" s="343"/>
      <c r="B365" s="332"/>
      <c r="C365" s="389"/>
      <c r="D365" s="389"/>
      <c r="E365" s="389"/>
      <c r="F365" s="389"/>
      <c r="G365" s="389"/>
      <c r="H365" s="389"/>
      <c r="I365" s="389"/>
    </row>
    <row r="366" spans="1:9" x14ac:dyDescent="0.2">
      <c r="A366" s="343"/>
      <c r="B366" s="315" t="str">
        <f>+$B$243</f>
        <v>1 Ltr Bottle</v>
      </c>
      <c r="C366" s="389"/>
      <c r="D366" s="389"/>
      <c r="E366" s="389"/>
      <c r="F366" s="389"/>
      <c r="G366" s="389"/>
      <c r="H366" s="389"/>
      <c r="I366" s="389"/>
    </row>
    <row r="367" spans="1:9" x14ac:dyDescent="0.2">
      <c r="A367" s="343"/>
      <c r="B367" s="332" t="str">
        <f>+$B$244</f>
        <v>Opn Stock</v>
      </c>
      <c r="C367" s="389">
        <v>0</v>
      </c>
      <c r="D367" s="389">
        <f t="shared" ref="D367" si="217">C370</f>
        <v>1015.9722222222222</v>
      </c>
      <c r="E367" s="389">
        <f t="shared" ref="E367" si="218">D370</f>
        <v>2138.8888888888887</v>
      </c>
      <c r="F367" s="389">
        <f t="shared" ref="F367" si="219">E370</f>
        <v>3368.75</v>
      </c>
      <c r="G367" s="389">
        <f t="shared" ref="G367" si="220">F370</f>
        <v>4723.3796296296296</v>
      </c>
      <c r="H367" s="389">
        <f t="shared" ref="H367" si="221">G370</f>
        <v>6184.9537037037035</v>
      </c>
      <c r="I367" s="389">
        <f t="shared" ref="I367" si="222">H370</f>
        <v>7753.4722222222217</v>
      </c>
    </row>
    <row r="368" spans="1:9" x14ac:dyDescent="0.2">
      <c r="A368" s="343"/>
      <c r="B368" s="332" t="str">
        <f>+$B$245</f>
        <v>Total Production</v>
      </c>
      <c r="C368" s="389">
        <f>+D650</f>
        <v>24383.333333333332</v>
      </c>
      <c r="D368" s="389">
        <f t="shared" ref="D368:I368" si="223">+E650</f>
        <v>26949.999999999996</v>
      </c>
      <c r="E368" s="389">
        <f t="shared" si="223"/>
        <v>29516.666666666668</v>
      </c>
      <c r="F368" s="389">
        <f t="shared" si="223"/>
        <v>32511.111111111113</v>
      </c>
      <c r="G368" s="389">
        <f t="shared" si="223"/>
        <v>35077.777777777781</v>
      </c>
      <c r="H368" s="389">
        <f t="shared" si="223"/>
        <v>37644.444444444445</v>
      </c>
      <c r="I368" s="389">
        <f t="shared" si="223"/>
        <v>40638.888888888891</v>
      </c>
    </row>
    <row r="369" spans="1:9" s="1" customFormat="1" x14ac:dyDescent="0.2">
      <c r="A369" s="623"/>
      <c r="B369" s="391" t="str">
        <f>+$B$246</f>
        <v>Sales</v>
      </c>
      <c r="C369" s="391">
        <f t="shared" ref="C369:I369" si="224">C367+C368-C370</f>
        <v>23367.361111111109</v>
      </c>
      <c r="D369" s="391">
        <f t="shared" si="224"/>
        <v>25827.083333333328</v>
      </c>
      <c r="E369" s="391">
        <f t="shared" si="224"/>
        <v>28286.805555555555</v>
      </c>
      <c r="F369" s="391">
        <f t="shared" si="224"/>
        <v>31156.481481481482</v>
      </c>
      <c r="G369" s="391">
        <f t="shared" si="224"/>
        <v>33616.203703703708</v>
      </c>
      <c r="H369" s="391">
        <f t="shared" si="224"/>
        <v>36075.925925925927</v>
      </c>
      <c r="I369" s="391">
        <f t="shared" si="224"/>
        <v>38945.601851851854</v>
      </c>
    </row>
    <row r="370" spans="1:9" x14ac:dyDescent="0.2">
      <c r="A370" s="343"/>
      <c r="B370" s="332" t="str">
        <f>+$B$247</f>
        <v>Closing Stock</v>
      </c>
      <c r="C370" s="389">
        <f>+(C367+C368/'Input Sheet'!$D$64)</f>
        <v>1015.9722222222222</v>
      </c>
      <c r="D370" s="389">
        <f>+(D367+D368/'Input Sheet'!$D$64)</f>
        <v>2138.8888888888887</v>
      </c>
      <c r="E370" s="389">
        <f>+(E367+E368/'Input Sheet'!$D$64)</f>
        <v>3368.75</v>
      </c>
      <c r="F370" s="389">
        <f>+(F367+F368/'Input Sheet'!$D$64)</f>
        <v>4723.3796296296296</v>
      </c>
      <c r="G370" s="389">
        <f>+(G367+G368/'Input Sheet'!$D$64)</f>
        <v>6184.9537037037035</v>
      </c>
      <c r="H370" s="389">
        <f>+(H367+H368/'Input Sheet'!$D$64)</f>
        <v>7753.4722222222217</v>
      </c>
      <c r="I370" s="389">
        <f>+(I367+I368/'Input Sheet'!$D$64)</f>
        <v>9446.7592592592591</v>
      </c>
    </row>
    <row r="371" spans="1:9" x14ac:dyDescent="0.2">
      <c r="A371" s="343"/>
      <c r="B371" s="332"/>
      <c r="C371" s="389"/>
      <c r="D371" s="389"/>
      <c r="E371" s="389"/>
      <c r="F371" s="389"/>
      <c r="G371" s="389"/>
      <c r="H371" s="389"/>
      <c r="I371" s="389"/>
    </row>
    <row r="372" spans="1:9" x14ac:dyDescent="0.2">
      <c r="A372" s="343"/>
      <c r="B372" s="315" t="str">
        <f>+$B$249</f>
        <v>5 Ltr Bottle</v>
      </c>
      <c r="C372" s="389"/>
      <c r="D372" s="389"/>
      <c r="E372" s="389"/>
      <c r="F372" s="389"/>
      <c r="G372" s="389"/>
      <c r="H372" s="389"/>
      <c r="I372" s="389"/>
    </row>
    <row r="373" spans="1:9" x14ac:dyDescent="0.2">
      <c r="A373" s="343"/>
      <c r="B373" s="332" t="str">
        <f>+$B$250</f>
        <v>Opn Stock</v>
      </c>
      <c r="C373" s="389">
        <v>0</v>
      </c>
      <c r="D373" s="389">
        <f t="shared" ref="D373" si="225">C376</f>
        <v>166.25</v>
      </c>
      <c r="E373" s="389">
        <f t="shared" ref="E373" si="226">D376</f>
        <v>350</v>
      </c>
      <c r="F373" s="389">
        <f t="shared" ref="F373" si="227">E376</f>
        <v>551.25</v>
      </c>
      <c r="G373" s="389">
        <f t="shared" ref="G373" si="228">F376</f>
        <v>772.91666666666663</v>
      </c>
      <c r="H373" s="389">
        <f t="shared" ref="H373" si="229">G376</f>
        <v>1012.0833333333333</v>
      </c>
      <c r="I373" s="389">
        <f t="shared" ref="I373" si="230">H376</f>
        <v>1268.75</v>
      </c>
    </row>
    <row r="374" spans="1:9" x14ac:dyDescent="0.2">
      <c r="A374" s="343"/>
      <c r="B374" s="332" t="str">
        <f>+$B$251</f>
        <v>Total Production</v>
      </c>
      <c r="C374" s="389">
        <f>+D655</f>
        <v>3990</v>
      </c>
      <c r="D374" s="389">
        <f t="shared" ref="D374:I374" si="231">+E655</f>
        <v>4409.9999999999991</v>
      </c>
      <c r="E374" s="389">
        <f t="shared" si="231"/>
        <v>4830</v>
      </c>
      <c r="F374" s="389">
        <f t="shared" si="231"/>
        <v>5320</v>
      </c>
      <c r="G374" s="389">
        <f t="shared" si="231"/>
        <v>5740</v>
      </c>
      <c r="H374" s="389">
        <f t="shared" si="231"/>
        <v>6159.9999999999991</v>
      </c>
      <c r="I374" s="389">
        <f t="shared" si="231"/>
        <v>6650</v>
      </c>
    </row>
    <row r="375" spans="1:9" x14ac:dyDescent="0.2">
      <c r="A375" s="343"/>
      <c r="B375" s="332" t="str">
        <f>+$B$252</f>
        <v>Sales</v>
      </c>
      <c r="C375" s="391">
        <f t="shared" ref="C375:I375" si="232">C373+C374-C376</f>
        <v>3823.75</v>
      </c>
      <c r="D375" s="391">
        <f t="shared" si="232"/>
        <v>4226.2499999999991</v>
      </c>
      <c r="E375" s="391">
        <f t="shared" si="232"/>
        <v>4628.75</v>
      </c>
      <c r="F375" s="391">
        <f t="shared" si="232"/>
        <v>5098.333333333333</v>
      </c>
      <c r="G375" s="391">
        <f t="shared" si="232"/>
        <v>5500.8333333333339</v>
      </c>
      <c r="H375" s="391">
        <f t="shared" si="232"/>
        <v>5903.3333333333321</v>
      </c>
      <c r="I375" s="391">
        <f t="shared" si="232"/>
        <v>6372.916666666667</v>
      </c>
    </row>
    <row r="376" spans="1:9" x14ac:dyDescent="0.2">
      <c r="A376" s="343"/>
      <c r="B376" s="332" t="str">
        <f>+$B$253</f>
        <v>Closing Stock</v>
      </c>
      <c r="C376" s="389">
        <f>+(C373+C374/'Input Sheet'!$D$64)</f>
        <v>166.25</v>
      </c>
      <c r="D376" s="389">
        <f>+(D373+D374/'Input Sheet'!$D$64)</f>
        <v>350</v>
      </c>
      <c r="E376" s="389">
        <f>+(E373+E374/'Input Sheet'!$D$64)</f>
        <v>551.25</v>
      </c>
      <c r="F376" s="389">
        <f>+(F373+F374/'Input Sheet'!$D$64)</f>
        <v>772.91666666666663</v>
      </c>
      <c r="G376" s="389">
        <f>+(G373+G374/'Input Sheet'!$D$64)</f>
        <v>1012.0833333333333</v>
      </c>
      <c r="H376" s="389">
        <f>+(H373+H374/'Input Sheet'!$D$64)</f>
        <v>1268.75</v>
      </c>
      <c r="I376" s="389">
        <f>+(I373+I374/'Input Sheet'!$D$64)</f>
        <v>1545.8333333333333</v>
      </c>
    </row>
    <row r="377" spans="1:9" x14ac:dyDescent="0.2">
      <c r="A377" s="343"/>
      <c r="B377" s="332"/>
      <c r="C377" s="389"/>
      <c r="D377" s="389"/>
      <c r="E377" s="389"/>
      <c r="F377" s="389"/>
      <c r="G377" s="389"/>
      <c r="H377" s="389"/>
      <c r="I377" s="389"/>
    </row>
    <row r="378" spans="1:9" x14ac:dyDescent="0.2">
      <c r="A378" s="343"/>
      <c r="B378" s="315" t="str">
        <f>+$B$255</f>
        <v>1Ltr Pouch</v>
      </c>
      <c r="C378" s="389"/>
      <c r="D378" s="389"/>
      <c r="E378" s="389"/>
      <c r="F378" s="389"/>
      <c r="G378" s="389"/>
      <c r="H378" s="389"/>
      <c r="I378" s="389"/>
    </row>
    <row r="379" spans="1:9" x14ac:dyDescent="0.2">
      <c r="A379" s="343"/>
      <c r="B379" s="332" t="str">
        <f>+$B$256</f>
        <v>Opn Stock</v>
      </c>
      <c r="C379" s="389">
        <v>0</v>
      </c>
      <c r="D379" s="389">
        <f t="shared" ref="D379" si="233">C382</f>
        <v>554.16666666666652</v>
      </c>
      <c r="E379" s="389">
        <f t="shared" ref="E379" si="234">D382</f>
        <v>1166.6666666666665</v>
      </c>
      <c r="F379" s="389">
        <f t="shared" ref="F379" si="235">E382</f>
        <v>1837.4999999999998</v>
      </c>
      <c r="G379" s="389">
        <f t="shared" ref="G379" si="236">F382</f>
        <v>2576.3888888888887</v>
      </c>
      <c r="H379" s="389">
        <f t="shared" ref="H379" si="237">G382</f>
        <v>3373.6111111111109</v>
      </c>
      <c r="I379" s="389">
        <f t="shared" ref="I379" si="238">H382</f>
        <v>4229.1666666666661</v>
      </c>
    </row>
    <row r="380" spans="1:9" x14ac:dyDescent="0.2">
      <c r="A380" s="343"/>
      <c r="B380" s="332" t="str">
        <f>+$B$257</f>
        <v>Total Production</v>
      </c>
      <c r="C380" s="389">
        <f>+D673</f>
        <v>13299.999999999996</v>
      </c>
      <c r="D380" s="389">
        <f t="shared" ref="D380:I380" si="239">+E673</f>
        <v>14699.999999999996</v>
      </c>
      <c r="E380" s="389">
        <f t="shared" si="239"/>
        <v>16099.999999999998</v>
      </c>
      <c r="F380" s="389">
        <f t="shared" si="239"/>
        <v>17733.333333333332</v>
      </c>
      <c r="G380" s="389">
        <f t="shared" si="239"/>
        <v>19133.333333333328</v>
      </c>
      <c r="H380" s="389">
        <f t="shared" si="239"/>
        <v>20533.333333333332</v>
      </c>
      <c r="I380" s="389">
        <f t="shared" si="239"/>
        <v>22166.666666666664</v>
      </c>
    </row>
    <row r="381" spans="1:9" x14ac:dyDescent="0.2">
      <c r="A381" s="343"/>
      <c r="B381" s="332" t="str">
        <f>+$B$258</f>
        <v>Sales</v>
      </c>
      <c r="C381" s="391">
        <f t="shared" ref="C381:I381" si="240">C379+C380-C382</f>
        <v>12745.83333333333</v>
      </c>
      <c r="D381" s="391">
        <f t="shared" si="240"/>
        <v>14087.499999999996</v>
      </c>
      <c r="E381" s="391">
        <f t="shared" si="240"/>
        <v>15429.166666666664</v>
      </c>
      <c r="F381" s="391">
        <f t="shared" si="240"/>
        <v>16994.444444444445</v>
      </c>
      <c r="G381" s="391">
        <f t="shared" si="240"/>
        <v>18336.111111111109</v>
      </c>
      <c r="H381" s="391">
        <f t="shared" si="240"/>
        <v>19677.777777777774</v>
      </c>
      <c r="I381" s="391">
        <f t="shared" si="240"/>
        <v>21243.055555555551</v>
      </c>
    </row>
    <row r="382" spans="1:9" x14ac:dyDescent="0.2">
      <c r="A382" s="343"/>
      <c r="B382" s="332" t="str">
        <f>+$B$259</f>
        <v>Closing Stock</v>
      </c>
      <c r="C382" s="389">
        <f>+(C379+C380/'Input Sheet'!$D$64)</f>
        <v>554.16666666666652</v>
      </c>
      <c r="D382" s="389">
        <f>+(D379+D380/'Input Sheet'!$D$64)</f>
        <v>1166.6666666666665</v>
      </c>
      <c r="E382" s="389">
        <f>+(E379+E380/'Input Sheet'!$D$64)</f>
        <v>1837.4999999999998</v>
      </c>
      <c r="F382" s="389">
        <f>+(F379+F380/'Input Sheet'!$D$64)</f>
        <v>2576.3888888888887</v>
      </c>
      <c r="G382" s="389">
        <f>+(G379+G380/'Input Sheet'!$D$64)</f>
        <v>3373.6111111111109</v>
      </c>
      <c r="H382" s="389">
        <f>+(H379+H380/'Input Sheet'!$D$64)</f>
        <v>4229.1666666666661</v>
      </c>
      <c r="I382" s="389">
        <f>+(I379+I380/'Input Sheet'!$D$64)</f>
        <v>5152.7777777777774</v>
      </c>
    </row>
    <row r="383" spans="1:9" x14ac:dyDescent="0.2">
      <c r="A383" s="343"/>
      <c r="B383" s="332"/>
      <c r="C383" s="389"/>
      <c r="D383" s="389"/>
      <c r="E383" s="389"/>
      <c r="F383" s="389"/>
      <c r="G383" s="389"/>
      <c r="H383" s="389"/>
      <c r="I383" s="389"/>
    </row>
    <row r="384" spans="1:9" x14ac:dyDescent="0.2">
      <c r="A384" s="343"/>
      <c r="B384" s="315" t="str">
        <f>+$B$261</f>
        <v>500 ML Pouch</v>
      </c>
      <c r="C384" s="389"/>
      <c r="D384" s="389"/>
      <c r="E384" s="389"/>
      <c r="F384" s="389"/>
      <c r="G384" s="389"/>
      <c r="H384" s="389"/>
      <c r="I384" s="389"/>
    </row>
    <row r="385" spans="1:9" x14ac:dyDescent="0.2">
      <c r="A385" s="343"/>
      <c r="B385" s="332" t="str">
        <f>+$B$262</f>
        <v>Opn Stock</v>
      </c>
      <c r="C385" s="389">
        <v>0</v>
      </c>
      <c r="D385" s="389">
        <f t="shared" ref="D385" si="241">C388</f>
        <v>474.99999999999994</v>
      </c>
      <c r="E385" s="389">
        <f t="shared" ref="E385" si="242">D388</f>
        <v>999.99999999999977</v>
      </c>
      <c r="F385" s="389">
        <f t="shared" ref="F385" si="243">E388</f>
        <v>1574.9999999999998</v>
      </c>
      <c r="G385" s="389">
        <f t="shared" ref="G385" si="244">F388</f>
        <v>2208.333333333333</v>
      </c>
      <c r="H385" s="389">
        <f t="shared" ref="H385" si="245">G388</f>
        <v>2891.6666666666661</v>
      </c>
      <c r="I385" s="389">
        <f t="shared" ref="I385" si="246">H388</f>
        <v>3624.9999999999995</v>
      </c>
    </row>
    <row r="386" spans="1:9" x14ac:dyDescent="0.2">
      <c r="A386" s="343"/>
      <c r="B386" s="332" t="str">
        <f>+$B$263</f>
        <v>Total Production</v>
      </c>
      <c r="C386" s="389">
        <f>+D678</f>
        <v>11399.999999999998</v>
      </c>
      <c r="D386" s="389">
        <f t="shared" ref="D386:I386" si="247">+E678</f>
        <v>12599.999999999998</v>
      </c>
      <c r="E386" s="389">
        <f t="shared" si="247"/>
        <v>13800</v>
      </c>
      <c r="F386" s="389">
        <f t="shared" si="247"/>
        <v>15199.999999999998</v>
      </c>
      <c r="G386" s="389">
        <f t="shared" si="247"/>
        <v>16399.999999999996</v>
      </c>
      <c r="H386" s="389">
        <f t="shared" si="247"/>
        <v>17600</v>
      </c>
      <c r="I386" s="389">
        <f t="shared" si="247"/>
        <v>18999.999999999996</v>
      </c>
    </row>
    <row r="387" spans="1:9" x14ac:dyDescent="0.2">
      <c r="A387" s="343"/>
      <c r="B387" s="332" t="str">
        <f>+$B$264</f>
        <v>Sales</v>
      </c>
      <c r="C387" s="391">
        <f t="shared" ref="C387:I387" si="248">C385+C386-C388</f>
        <v>10924.999999999998</v>
      </c>
      <c r="D387" s="391">
        <f t="shared" si="248"/>
        <v>12074.999999999998</v>
      </c>
      <c r="E387" s="391">
        <f t="shared" si="248"/>
        <v>13225</v>
      </c>
      <c r="F387" s="391">
        <f t="shared" si="248"/>
        <v>14566.666666666664</v>
      </c>
      <c r="G387" s="391">
        <f t="shared" si="248"/>
        <v>15716.666666666662</v>
      </c>
      <c r="H387" s="391">
        <f t="shared" si="248"/>
        <v>16866.666666666664</v>
      </c>
      <c r="I387" s="391">
        <f t="shared" si="248"/>
        <v>18208.333333333328</v>
      </c>
    </row>
    <row r="388" spans="1:9" x14ac:dyDescent="0.2">
      <c r="A388" s="316"/>
      <c r="B388" s="332" t="str">
        <f>+$B$265</f>
        <v>Closing Stock</v>
      </c>
      <c r="C388" s="389">
        <f>+(C385+C386/'Input Sheet'!$D$64)</f>
        <v>474.99999999999994</v>
      </c>
      <c r="D388" s="389">
        <f>+(D385+D386/'Input Sheet'!$D$64)</f>
        <v>999.99999999999977</v>
      </c>
      <c r="E388" s="389">
        <f>+(E385+E386/'Input Sheet'!$D$64)</f>
        <v>1574.9999999999998</v>
      </c>
      <c r="F388" s="389">
        <f>+(F385+F386/'Input Sheet'!$D$64)</f>
        <v>2208.333333333333</v>
      </c>
      <c r="G388" s="389">
        <f>+(G385+G386/'Input Sheet'!$D$64)</f>
        <v>2891.6666666666661</v>
      </c>
      <c r="H388" s="389">
        <f>+(H385+H386/'Input Sheet'!$D$64)</f>
        <v>3624.9999999999995</v>
      </c>
      <c r="I388" s="389">
        <f>+(I385+I386/'Input Sheet'!$D$64)</f>
        <v>4416.6666666666661</v>
      </c>
    </row>
    <row r="389" spans="1:9" x14ac:dyDescent="0.2">
      <c r="A389" s="316"/>
      <c r="B389" s="332"/>
      <c r="C389" s="389"/>
      <c r="D389" s="389"/>
      <c r="E389" s="389"/>
      <c r="F389" s="389"/>
      <c r="G389" s="389"/>
      <c r="H389" s="389"/>
      <c r="I389" s="389"/>
    </row>
    <row r="390" spans="1:9" x14ac:dyDescent="0.2">
      <c r="A390" s="316"/>
      <c r="B390" s="317" t="str">
        <f>+A51</f>
        <v>Oil Cake</v>
      </c>
      <c r="C390" s="389"/>
      <c r="D390" s="389"/>
      <c r="E390" s="389"/>
      <c r="F390" s="389"/>
      <c r="G390" s="389"/>
      <c r="H390" s="389"/>
      <c r="I390" s="389"/>
    </row>
    <row r="391" spans="1:9" x14ac:dyDescent="0.2">
      <c r="A391" s="316"/>
      <c r="B391" s="332" t="s">
        <v>666</v>
      </c>
      <c r="C391" s="389">
        <v>0</v>
      </c>
      <c r="D391" s="389">
        <f t="shared" ref="D391" si="249">C394</f>
        <v>0</v>
      </c>
      <c r="E391" s="389">
        <f t="shared" ref="E391" si="250">D394</f>
        <v>0</v>
      </c>
      <c r="F391" s="389">
        <f t="shared" ref="F391" si="251">E394</f>
        <v>0</v>
      </c>
      <c r="G391" s="389">
        <f t="shared" ref="G391" si="252">F394</f>
        <v>0</v>
      </c>
      <c r="H391" s="389">
        <f t="shared" ref="H391" si="253">G394</f>
        <v>0</v>
      </c>
      <c r="I391" s="389">
        <f t="shared" ref="I391" si="254">H394</f>
        <v>0</v>
      </c>
    </row>
    <row r="392" spans="1:9" x14ac:dyDescent="0.2">
      <c r="A392" s="316"/>
      <c r="B392" s="332" t="s">
        <v>667</v>
      </c>
      <c r="C392" s="389">
        <f>+B51+B29</f>
        <v>307.27499999999998</v>
      </c>
      <c r="D392" s="389">
        <f t="shared" ref="D392:I392" si="255">+C51+C29</f>
        <v>341.75</v>
      </c>
      <c r="E392" s="389">
        <f t="shared" si="255"/>
        <v>375.22500000000002</v>
      </c>
      <c r="F392" s="389">
        <f t="shared" si="255"/>
        <v>409.70000000000005</v>
      </c>
      <c r="G392" s="389">
        <f t="shared" si="255"/>
        <v>443.17500000000007</v>
      </c>
      <c r="H392" s="389">
        <f t="shared" si="255"/>
        <v>477.65000000000003</v>
      </c>
      <c r="I392" s="389">
        <f t="shared" si="255"/>
        <v>512.125</v>
      </c>
    </row>
    <row r="393" spans="1:9" x14ac:dyDescent="0.2">
      <c r="A393" s="316"/>
      <c r="B393" s="332" t="s">
        <v>668</v>
      </c>
      <c r="C393" s="391">
        <f t="shared" ref="C393:I393" si="256">C391+C392-C394</f>
        <v>307.27499999999998</v>
      </c>
      <c r="D393" s="391">
        <f t="shared" si="256"/>
        <v>341.75</v>
      </c>
      <c r="E393" s="391">
        <f t="shared" si="256"/>
        <v>375.22500000000002</v>
      </c>
      <c r="F393" s="391">
        <f t="shared" si="256"/>
        <v>409.70000000000005</v>
      </c>
      <c r="G393" s="391">
        <f t="shared" si="256"/>
        <v>443.17500000000007</v>
      </c>
      <c r="H393" s="391">
        <f t="shared" si="256"/>
        <v>477.65000000000003</v>
      </c>
      <c r="I393" s="391">
        <f t="shared" si="256"/>
        <v>512.125</v>
      </c>
    </row>
    <row r="394" spans="1:9" x14ac:dyDescent="0.2">
      <c r="A394" s="316"/>
      <c r="B394" s="332" t="s">
        <v>333</v>
      </c>
      <c r="C394" s="389">
        <v>0</v>
      </c>
      <c r="D394" s="389">
        <v>0</v>
      </c>
      <c r="E394" s="389">
        <v>0</v>
      </c>
      <c r="F394" s="389">
        <v>0</v>
      </c>
      <c r="G394" s="389">
        <v>0</v>
      </c>
      <c r="H394" s="389">
        <v>0</v>
      </c>
      <c r="I394" s="389">
        <v>0</v>
      </c>
    </row>
    <row r="395" spans="1:9" x14ac:dyDescent="0.2">
      <c r="A395" s="316"/>
      <c r="B395" s="332"/>
      <c r="C395" s="389"/>
      <c r="D395" s="389"/>
      <c r="E395" s="389"/>
      <c r="F395" s="389"/>
      <c r="G395" s="389"/>
      <c r="H395" s="389"/>
      <c r="I395" s="389"/>
    </row>
    <row r="396" spans="1:9" x14ac:dyDescent="0.2">
      <c r="A396" s="316"/>
      <c r="B396" s="332"/>
      <c r="C396" s="316"/>
      <c r="D396" s="344"/>
      <c r="E396" s="344"/>
      <c r="F396" s="344"/>
      <c r="G396" s="344"/>
      <c r="H396" s="344"/>
      <c r="I396" s="344"/>
    </row>
    <row r="397" spans="1:9" x14ac:dyDescent="0.2">
      <c r="A397" s="316"/>
      <c r="B397" s="316"/>
      <c r="C397" s="316"/>
      <c r="D397" s="344"/>
      <c r="E397" s="344"/>
      <c r="F397" s="344"/>
      <c r="G397" s="344"/>
      <c r="H397" s="344"/>
      <c r="I397" s="344"/>
    </row>
    <row r="398" spans="1:9" x14ac:dyDescent="0.2">
      <c r="A398" s="316"/>
      <c r="B398" s="315" t="s">
        <v>669</v>
      </c>
      <c r="C398" s="332"/>
      <c r="D398" s="344"/>
      <c r="E398" s="344"/>
      <c r="F398" s="344"/>
      <c r="G398" s="344"/>
      <c r="H398" s="344"/>
      <c r="I398" s="344"/>
    </row>
    <row r="399" spans="1:9" x14ac:dyDescent="0.2">
      <c r="A399" s="343" t="s">
        <v>167</v>
      </c>
      <c r="B399" s="328" t="str">
        <f>+B364</f>
        <v>Mustard  Oil</v>
      </c>
      <c r="C399" s="515">
        <f>+'Input Sheet'!C114</f>
        <v>0</v>
      </c>
      <c r="D399" s="515">
        <f>+'Input Sheet'!D114</f>
        <v>0</v>
      </c>
      <c r="E399" s="515">
        <f>+'Input Sheet'!E114</f>
        <v>0</v>
      </c>
      <c r="F399" s="515">
        <f>+'Input Sheet'!F114</f>
        <v>0</v>
      </c>
      <c r="G399" s="515">
        <f>+'Input Sheet'!G114</f>
        <v>0</v>
      </c>
      <c r="H399" s="515">
        <f>+'Input Sheet'!H114</f>
        <v>0</v>
      </c>
      <c r="I399" s="515">
        <f>+'Input Sheet'!I114</f>
        <v>0</v>
      </c>
    </row>
    <row r="400" spans="1:9" x14ac:dyDescent="0.2">
      <c r="A400" s="316"/>
      <c r="B400" s="624" t="str">
        <f>+$B$243</f>
        <v>1 Ltr Bottle</v>
      </c>
      <c r="C400" s="344">
        <f>+'Input Sheet'!C115</f>
        <v>145</v>
      </c>
      <c r="D400" s="344">
        <f>+'Input Sheet'!D115</f>
        <v>150</v>
      </c>
      <c r="E400" s="344">
        <f>+'Input Sheet'!E115</f>
        <v>160</v>
      </c>
      <c r="F400" s="344">
        <f>+'Input Sheet'!F115</f>
        <v>170</v>
      </c>
      <c r="G400" s="344">
        <f>+'Input Sheet'!G115</f>
        <v>180</v>
      </c>
      <c r="H400" s="344">
        <f>+'Input Sheet'!H115</f>
        <v>190</v>
      </c>
      <c r="I400" s="344">
        <f>+'Input Sheet'!I115</f>
        <v>200</v>
      </c>
    </row>
    <row r="401" spans="1:9" x14ac:dyDescent="0.2">
      <c r="A401" s="316"/>
      <c r="B401" s="624" t="str">
        <f>+$B$249</f>
        <v>5 Ltr Bottle</v>
      </c>
      <c r="C401" s="344">
        <f>+'Input Sheet'!C116</f>
        <v>710</v>
      </c>
      <c r="D401" s="344">
        <f>+'Input Sheet'!D116</f>
        <v>750</v>
      </c>
      <c r="E401" s="344">
        <f>+'Input Sheet'!E116</f>
        <v>790</v>
      </c>
      <c r="F401" s="344">
        <f>+'Input Sheet'!F116</f>
        <v>830</v>
      </c>
      <c r="G401" s="344">
        <f>+'Input Sheet'!G116</f>
        <v>870</v>
      </c>
      <c r="H401" s="344">
        <f>+'Input Sheet'!H116</f>
        <v>910</v>
      </c>
      <c r="I401" s="344">
        <f>+'Input Sheet'!I116</f>
        <v>960</v>
      </c>
    </row>
    <row r="402" spans="1:9" x14ac:dyDescent="0.2">
      <c r="A402" s="316"/>
      <c r="B402" s="624" t="str">
        <f>+$B$255</f>
        <v>1Ltr Pouch</v>
      </c>
      <c r="C402" s="344">
        <f>+'Input Sheet'!C117</f>
        <v>148</v>
      </c>
      <c r="D402" s="344">
        <f>+'Input Sheet'!D117</f>
        <v>160</v>
      </c>
      <c r="E402" s="344">
        <f>+'Input Sheet'!E117</f>
        <v>170</v>
      </c>
      <c r="F402" s="344">
        <f>+'Input Sheet'!F117</f>
        <v>180</v>
      </c>
      <c r="G402" s="344">
        <f>+'Input Sheet'!G117</f>
        <v>190</v>
      </c>
      <c r="H402" s="344">
        <f>+'Input Sheet'!H117</f>
        <v>200</v>
      </c>
      <c r="I402" s="344">
        <f>+'Input Sheet'!I117</f>
        <v>210</v>
      </c>
    </row>
    <row r="403" spans="1:9" x14ac:dyDescent="0.2">
      <c r="A403" s="316"/>
      <c r="B403" s="624" t="str">
        <f>+$B$261</f>
        <v>500 ML Pouch</v>
      </c>
      <c r="C403" s="344">
        <f>+'Input Sheet'!C118</f>
        <v>75</v>
      </c>
      <c r="D403" s="344">
        <f>+'Input Sheet'!D118</f>
        <v>78.8</v>
      </c>
      <c r="E403" s="344">
        <f>+'Input Sheet'!E118</f>
        <v>82.7</v>
      </c>
      <c r="F403" s="344">
        <f>+'Input Sheet'!F118</f>
        <v>86.8</v>
      </c>
      <c r="G403" s="344">
        <f>+'Input Sheet'!G118</f>
        <v>91.1</v>
      </c>
      <c r="H403" s="344">
        <f>+'Input Sheet'!H118</f>
        <v>95.7</v>
      </c>
      <c r="I403" s="344">
        <f>+'Input Sheet'!I118</f>
        <v>100.5</v>
      </c>
    </row>
    <row r="404" spans="1:9" x14ac:dyDescent="0.2">
      <c r="A404" s="316"/>
      <c r="B404" s="316"/>
      <c r="C404" s="316"/>
      <c r="D404" s="344"/>
      <c r="E404" s="344"/>
      <c r="F404" s="344"/>
      <c r="G404" s="344"/>
      <c r="H404" s="344"/>
      <c r="I404" s="344"/>
    </row>
    <row r="405" spans="1:9" x14ac:dyDescent="0.2">
      <c r="A405" s="316"/>
      <c r="B405" s="316"/>
      <c r="C405" s="316"/>
      <c r="D405" s="344"/>
      <c r="E405" s="344"/>
      <c r="F405" s="344"/>
      <c r="G405" s="344"/>
      <c r="H405" s="344"/>
      <c r="I405" s="344"/>
    </row>
    <row r="406" spans="1:9" x14ac:dyDescent="0.2">
      <c r="A406" s="316"/>
      <c r="B406" s="316"/>
      <c r="C406" s="316"/>
      <c r="D406" s="344"/>
      <c r="E406" s="344"/>
      <c r="F406" s="344"/>
      <c r="G406" s="344"/>
      <c r="H406" s="344"/>
      <c r="I406" s="344"/>
    </row>
    <row r="407" spans="1:9" x14ac:dyDescent="0.2">
      <c r="A407" s="317" t="s">
        <v>167</v>
      </c>
      <c r="B407" s="629" t="str">
        <f>B399</f>
        <v>Mustard  Oil</v>
      </c>
      <c r="C407" s="316"/>
      <c r="D407" s="344"/>
      <c r="E407" s="344"/>
      <c r="F407" s="344"/>
      <c r="G407" s="344"/>
      <c r="H407" s="344"/>
      <c r="I407" s="344"/>
    </row>
    <row r="408" spans="1:9" x14ac:dyDescent="0.2">
      <c r="A408" s="316"/>
      <c r="B408" s="332" t="s">
        <v>670</v>
      </c>
      <c r="C408" s="339">
        <v>0</v>
      </c>
      <c r="D408" s="428">
        <f t="shared" ref="D408:I408" si="257">C409</f>
        <v>3.8299513888888881</v>
      </c>
      <c r="E408" s="428">
        <f t="shared" si="257"/>
        <v>8.4879999999999995</v>
      </c>
      <c r="F408" s="428">
        <f t="shared" si="257"/>
        <v>14.171149999999999</v>
      </c>
      <c r="G408" s="428">
        <f t="shared" si="257"/>
        <v>20.999287037037035</v>
      </c>
      <c r="H408" s="428">
        <f t="shared" si="257"/>
        <v>28.982211111111106</v>
      </c>
      <c r="I408" s="428">
        <f t="shared" si="257"/>
        <v>38.204680555555548</v>
      </c>
    </row>
    <row r="409" spans="1:9" x14ac:dyDescent="0.2">
      <c r="A409" s="316"/>
      <c r="B409" s="315" t="s">
        <v>671</v>
      </c>
      <c r="C409" s="339">
        <f>+SUM(C410:C413)</f>
        <v>3.8299513888888881</v>
      </c>
      <c r="D409" s="339">
        <f t="shared" ref="D409:I409" si="258">+SUM(D410:D413)</f>
        <v>8.4879999999999995</v>
      </c>
      <c r="E409" s="339">
        <f t="shared" si="258"/>
        <v>14.171149999999999</v>
      </c>
      <c r="F409" s="339">
        <f t="shared" si="258"/>
        <v>20.999287037037035</v>
      </c>
      <c r="G409" s="339">
        <f t="shared" si="258"/>
        <v>28.982211111111106</v>
      </c>
      <c r="H409" s="339">
        <f t="shared" si="258"/>
        <v>38.204680555555548</v>
      </c>
      <c r="I409" s="339">
        <f t="shared" si="258"/>
        <v>48.993101851851854</v>
      </c>
    </row>
    <row r="410" spans="1:9" x14ac:dyDescent="0.2">
      <c r="A410" s="316"/>
      <c r="B410" s="624" t="str">
        <f>+$B$243</f>
        <v>1 Ltr Bottle</v>
      </c>
      <c r="C410" s="339">
        <f>+C400*C370/100000</f>
        <v>1.4731597222222221</v>
      </c>
      <c r="D410" s="339">
        <f t="shared" ref="D410:I410" si="259">+D400*D370/100000</f>
        <v>3.208333333333333</v>
      </c>
      <c r="E410" s="339">
        <f t="shared" si="259"/>
        <v>5.39</v>
      </c>
      <c r="F410" s="339">
        <f t="shared" si="259"/>
        <v>8.0297453703703709</v>
      </c>
      <c r="G410" s="339">
        <f t="shared" si="259"/>
        <v>11.132916666666665</v>
      </c>
      <c r="H410" s="339">
        <f t="shared" si="259"/>
        <v>14.73159722222222</v>
      </c>
      <c r="I410" s="339">
        <f t="shared" si="259"/>
        <v>18.893518518518519</v>
      </c>
    </row>
    <row r="411" spans="1:9" x14ac:dyDescent="0.2">
      <c r="A411" s="316"/>
      <c r="B411" s="624" t="str">
        <f>+$B$249</f>
        <v>5 Ltr Bottle</v>
      </c>
      <c r="C411" s="339">
        <f>+C401*C376/100000</f>
        <v>1.180375</v>
      </c>
      <c r="D411" s="339">
        <f t="shared" ref="D411:I411" si="260">+D401*D376/100000</f>
        <v>2.625</v>
      </c>
      <c r="E411" s="339">
        <f t="shared" si="260"/>
        <v>4.3548749999999998</v>
      </c>
      <c r="F411" s="339">
        <f t="shared" si="260"/>
        <v>6.4152083333333323</v>
      </c>
      <c r="G411" s="339">
        <f t="shared" si="260"/>
        <v>8.8051249999999985</v>
      </c>
      <c r="H411" s="339">
        <f t="shared" si="260"/>
        <v>11.545624999999999</v>
      </c>
      <c r="I411" s="339">
        <f t="shared" si="260"/>
        <v>14.84</v>
      </c>
    </row>
    <row r="412" spans="1:9" x14ac:dyDescent="0.2">
      <c r="A412" s="316"/>
      <c r="B412" s="624" t="str">
        <f>+$B$255</f>
        <v>1Ltr Pouch</v>
      </c>
      <c r="C412" s="339">
        <f>+C402*C382/100000</f>
        <v>0.82016666666666638</v>
      </c>
      <c r="D412" s="339">
        <f t="shared" ref="D412:I412" si="261">+D402*D382/100000</f>
        <v>1.8666666666666663</v>
      </c>
      <c r="E412" s="339">
        <f t="shared" si="261"/>
        <v>3.1237499999999994</v>
      </c>
      <c r="F412" s="339">
        <f t="shared" si="261"/>
        <v>4.6374999999999993</v>
      </c>
      <c r="G412" s="339">
        <f t="shared" si="261"/>
        <v>6.4098611111111099</v>
      </c>
      <c r="H412" s="339">
        <f t="shared" si="261"/>
        <v>8.4583333333333321</v>
      </c>
      <c r="I412" s="339">
        <f t="shared" si="261"/>
        <v>10.820833333333333</v>
      </c>
    </row>
    <row r="413" spans="1:9" x14ac:dyDescent="0.2">
      <c r="A413" s="316"/>
      <c r="B413" s="624" t="str">
        <f>+$B$261</f>
        <v>500 ML Pouch</v>
      </c>
      <c r="C413" s="339">
        <f>+C403*C388/100000</f>
        <v>0.3562499999999999</v>
      </c>
      <c r="D413" s="339">
        <f t="shared" ref="D413:I413" si="262">+D403*D388/100000</f>
        <v>0.78799999999999981</v>
      </c>
      <c r="E413" s="339">
        <f t="shared" si="262"/>
        <v>1.3025249999999999</v>
      </c>
      <c r="F413" s="339">
        <f t="shared" si="262"/>
        <v>1.9168333333333332</v>
      </c>
      <c r="G413" s="339">
        <f t="shared" si="262"/>
        <v>2.6343083333333324</v>
      </c>
      <c r="H413" s="339">
        <f t="shared" si="262"/>
        <v>3.4691249999999996</v>
      </c>
      <c r="I413" s="339">
        <f t="shared" si="262"/>
        <v>4.4387499999999998</v>
      </c>
    </row>
    <row r="414" spans="1:9" x14ac:dyDescent="0.2">
      <c r="A414" s="316"/>
      <c r="B414" s="316"/>
      <c r="C414" s="316"/>
      <c r="D414" s="344"/>
      <c r="E414" s="344"/>
      <c r="F414" s="344"/>
      <c r="G414" s="344"/>
      <c r="H414" s="344"/>
      <c r="I414" s="344"/>
    </row>
    <row r="415" spans="1:9" hidden="1" x14ac:dyDescent="0.2">
      <c r="A415" s="343"/>
      <c r="B415" s="580" t="str">
        <f>+'Input Sheet'!B60</f>
        <v>Finished Goods -Tomato(MT)</v>
      </c>
      <c r="C415" s="326"/>
      <c r="D415" s="418"/>
      <c r="E415" s="418"/>
      <c r="F415" s="418"/>
      <c r="G415" s="418"/>
      <c r="H415" s="418"/>
      <c r="I415" s="418"/>
    </row>
    <row r="416" spans="1:9" hidden="1" x14ac:dyDescent="0.2">
      <c r="A416" s="338" t="s">
        <v>167</v>
      </c>
      <c r="B416" s="315" t="str">
        <f>+B215</f>
        <v>Grade 1</v>
      </c>
      <c r="C416" s="332"/>
      <c r="D416" s="389"/>
      <c r="E416" s="389"/>
      <c r="F416" s="389"/>
      <c r="G416" s="389"/>
      <c r="H416" s="344"/>
      <c r="I416" s="344"/>
    </row>
    <row r="417" spans="1:9" hidden="1" x14ac:dyDescent="0.2">
      <c r="A417" s="343"/>
      <c r="B417" s="332" t="s">
        <v>666</v>
      </c>
      <c r="C417" s="332">
        <f>0</f>
        <v>0</v>
      </c>
      <c r="D417" s="389">
        <f t="shared" ref="D417:I417" si="263">C420</f>
        <v>0</v>
      </c>
      <c r="E417" s="389">
        <f t="shared" si="263"/>
        <v>0</v>
      </c>
      <c r="F417" s="389">
        <f t="shared" si="263"/>
        <v>0</v>
      </c>
      <c r="G417" s="389">
        <f t="shared" si="263"/>
        <v>0</v>
      </c>
      <c r="H417" s="389">
        <f t="shared" si="263"/>
        <v>0</v>
      </c>
      <c r="I417" s="389">
        <f t="shared" si="263"/>
        <v>0</v>
      </c>
    </row>
    <row r="418" spans="1:9" hidden="1" x14ac:dyDescent="0.2">
      <c r="A418" s="343"/>
      <c r="B418" s="332" t="s">
        <v>667</v>
      </c>
      <c r="C418" s="333">
        <f t="shared" ref="C418:I418" si="264">+B55</f>
        <v>0</v>
      </c>
      <c r="D418" s="389">
        <f t="shared" si="264"/>
        <v>0</v>
      </c>
      <c r="E418" s="389">
        <f t="shared" si="264"/>
        <v>0</v>
      </c>
      <c r="F418" s="389">
        <f t="shared" si="264"/>
        <v>0</v>
      </c>
      <c r="G418" s="389">
        <f t="shared" si="264"/>
        <v>0</v>
      </c>
      <c r="H418" s="389">
        <f t="shared" si="264"/>
        <v>0</v>
      </c>
      <c r="I418" s="389">
        <f t="shared" si="264"/>
        <v>0</v>
      </c>
    </row>
    <row r="419" spans="1:9" hidden="1" x14ac:dyDescent="0.2">
      <c r="A419" s="343"/>
      <c r="B419" s="332" t="s">
        <v>668</v>
      </c>
      <c r="C419" s="332">
        <f t="shared" ref="C419:I419" si="265">C417+C418-C420</f>
        <v>0</v>
      </c>
      <c r="D419" s="389">
        <f t="shared" si="265"/>
        <v>0</v>
      </c>
      <c r="E419" s="389">
        <f t="shared" si="265"/>
        <v>0</v>
      </c>
      <c r="F419" s="389">
        <f t="shared" si="265"/>
        <v>0</v>
      </c>
      <c r="G419" s="389">
        <f t="shared" si="265"/>
        <v>0</v>
      </c>
      <c r="H419" s="389">
        <f t="shared" si="265"/>
        <v>0</v>
      </c>
      <c r="I419" s="389">
        <f t="shared" si="265"/>
        <v>0</v>
      </c>
    </row>
    <row r="420" spans="1:9" hidden="1" x14ac:dyDescent="0.2">
      <c r="A420" s="343"/>
      <c r="B420" s="332" t="s">
        <v>333</v>
      </c>
      <c r="C420" s="332">
        <f t="shared" ref="C420:I420" si="266">ROUND((C418+C417)/24,0)</f>
        <v>0</v>
      </c>
      <c r="D420" s="389">
        <f t="shared" si="266"/>
        <v>0</v>
      </c>
      <c r="E420" s="389">
        <f t="shared" si="266"/>
        <v>0</v>
      </c>
      <c r="F420" s="389">
        <f t="shared" si="266"/>
        <v>0</v>
      </c>
      <c r="G420" s="389">
        <f t="shared" si="266"/>
        <v>0</v>
      </c>
      <c r="H420" s="389">
        <f t="shared" si="266"/>
        <v>0</v>
      </c>
      <c r="I420" s="389">
        <f t="shared" si="266"/>
        <v>0</v>
      </c>
    </row>
    <row r="421" spans="1:9" hidden="1" x14ac:dyDescent="0.2">
      <c r="A421" s="316"/>
      <c r="B421" s="316"/>
      <c r="C421" s="316"/>
      <c r="D421" s="344"/>
      <c r="E421" s="344"/>
      <c r="F421" s="344"/>
      <c r="G421" s="344"/>
      <c r="H421" s="344"/>
      <c r="I421" s="344"/>
    </row>
    <row r="422" spans="1:9" hidden="1" x14ac:dyDescent="0.2">
      <c r="A422" s="338" t="s">
        <v>168</v>
      </c>
      <c r="B422" s="317" t="str">
        <f>+B219</f>
        <v>Grade 2</v>
      </c>
      <c r="C422" s="317"/>
      <c r="D422" s="341"/>
      <c r="E422" s="341"/>
      <c r="F422" s="341"/>
      <c r="G422" s="341"/>
      <c r="H422" s="341"/>
      <c r="I422" s="341"/>
    </row>
    <row r="423" spans="1:9" hidden="1" x14ac:dyDescent="0.2">
      <c r="A423" s="316"/>
      <c r="B423" s="332" t="s">
        <v>666</v>
      </c>
      <c r="C423" s="332">
        <f>0</f>
        <v>0</v>
      </c>
      <c r="D423" s="389">
        <f t="shared" ref="D423:I423" si="267">C426</f>
        <v>0</v>
      </c>
      <c r="E423" s="389">
        <f t="shared" si="267"/>
        <v>0</v>
      </c>
      <c r="F423" s="389">
        <f t="shared" si="267"/>
        <v>0</v>
      </c>
      <c r="G423" s="389">
        <f t="shared" si="267"/>
        <v>0</v>
      </c>
      <c r="H423" s="389">
        <f t="shared" si="267"/>
        <v>0</v>
      </c>
      <c r="I423" s="389">
        <f t="shared" si="267"/>
        <v>0</v>
      </c>
    </row>
    <row r="424" spans="1:9" hidden="1" x14ac:dyDescent="0.2">
      <c r="A424" s="316"/>
      <c r="B424" s="332" t="s">
        <v>667</v>
      </c>
      <c r="C424" s="333">
        <f t="shared" ref="C424:I424" si="268">+B56</f>
        <v>0</v>
      </c>
      <c r="D424" s="389">
        <f t="shared" si="268"/>
        <v>0</v>
      </c>
      <c r="E424" s="389">
        <f t="shared" si="268"/>
        <v>0</v>
      </c>
      <c r="F424" s="389">
        <f t="shared" si="268"/>
        <v>0</v>
      </c>
      <c r="G424" s="389">
        <f t="shared" si="268"/>
        <v>0</v>
      </c>
      <c r="H424" s="389">
        <f t="shared" si="268"/>
        <v>0</v>
      </c>
      <c r="I424" s="389">
        <f t="shared" si="268"/>
        <v>0</v>
      </c>
    </row>
    <row r="425" spans="1:9" hidden="1" x14ac:dyDescent="0.2">
      <c r="A425" s="316"/>
      <c r="B425" s="332" t="s">
        <v>668</v>
      </c>
      <c r="C425" s="332">
        <f t="shared" ref="C425:I425" si="269">C423+C424-C426</f>
        <v>0</v>
      </c>
      <c r="D425" s="389">
        <f t="shared" si="269"/>
        <v>0</v>
      </c>
      <c r="E425" s="389">
        <f t="shared" si="269"/>
        <v>0</v>
      </c>
      <c r="F425" s="389">
        <f t="shared" si="269"/>
        <v>0</v>
      </c>
      <c r="G425" s="389">
        <f t="shared" si="269"/>
        <v>0</v>
      </c>
      <c r="H425" s="389">
        <f t="shared" si="269"/>
        <v>0</v>
      </c>
      <c r="I425" s="389">
        <f t="shared" si="269"/>
        <v>0</v>
      </c>
    </row>
    <row r="426" spans="1:9" hidden="1" x14ac:dyDescent="0.2">
      <c r="A426" s="316"/>
      <c r="B426" s="332" t="s">
        <v>333</v>
      </c>
      <c r="C426" s="332">
        <v>0</v>
      </c>
      <c r="D426" s="389">
        <v>0</v>
      </c>
      <c r="E426" s="389">
        <v>0</v>
      </c>
      <c r="F426" s="389">
        <v>0</v>
      </c>
      <c r="G426" s="389">
        <v>0</v>
      </c>
      <c r="H426" s="389">
        <v>0</v>
      </c>
      <c r="I426" s="389">
        <v>0</v>
      </c>
    </row>
    <row r="427" spans="1:9" hidden="1" x14ac:dyDescent="0.2">
      <c r="A427" s="316"/>
      <c r="B427" s="316"/>
      <c r="C427" s="316"/>
      <c r="D427" s="344"/>
      <c r="E427" s="344"/>
      <c r="F427" s="344"/>
      <c r="G427" s="344"/>
      <c r="H427" s="344"/>
      <c r="I427" s="344"/>
    </row>
    <row r="428" spans="1:9" hidden="1" x14ac:dyDescent="0.2">
      <c r="A428" s="338" t="s">
        <v>169</v>
      </c>
      <c r="B428" s="317" t="str">
        <f>+B223</f>
        <v>Animal Feed</v>
      </c>
      <c r="C428" s="317"/>
      <c r="D428" s="341"/>
      <c r="E428" s="341"/>
      <c r="F428" s="341"/>
      <c r="G428" s="341"/>
      <c r="H428" s="341"/>
      <c r="I428" s="341"/>
    </row>
    <row r="429" spans="1:9" hidden="1" x14ac:dyDescent="0.2">
      <c r="A429" s="316"/>
      <c r="B429" s="332" t="s">
        <v>666</v>
      </c>
      <c r="C429" s="332">
        <f>0</f>
        <v>0</v>
      </c>
      <c r="D429" s="389">
        <f t="shared" ref="D429:I429" si="270">C432</f>
        <v>0</v>
      </c>
      <c r="E429" s="389">
        <f t="shared" si="270"/>
        <v>0</v>
      </c>
      <c r="F429" s="389">
        <f t="shared" si="270"/>
        <v>0</v>
      </c>
      <c r="G429" s="389">
        <f t="shared" si="270"/>
        <v>0</v>
      </c>
      <c r="H429" s="389">
        <f t="shared" si="270"/>
        <v>0</v>
      </c>
      <c r="I429" s="389">
        <f t="shared" si="270"/>
        <v>0</v>
      </c>
    </row>
    <row r="430" spans="1:9" hidden="1" x14ac:dyDescent="0.2">
      <c r="A430" s="316"/>
      <c r="B430" s="332" t="s">
        <v>667</v>
      </c>
      <c r="C430" s="333">
        <f t="shared" ref="C430:I430" si="271">+B57</f>
        <v>0</v>
      </c>
      <c r="D430" s="389">
        <f t="shared" si="271"/>
        <v>0</v>
      </c>
      <c r="E430" s="389">
        <f t="shared" si="271"/>
        <v>0</v>
      </c>
      <c r="F430" s="389">
        <f t="shared" si="271"/>
        <v>0</v>
      </c>
      <c r="G430" s="389">
        <f t="shared" si="271"/>
        <v>0</v>
      </c>
      <c r="H430" s="389">
        <f t="shared" si="271"/>
        <v>0</v>
      </c>
      <c r="I430" s="389">
        <f t="shared" si="271"/>
        <v>0</v>
      </c>
    </row>
    <row r="431" spans="1:9" hidden="1" x14ac:dyDescent="0.2">
      <c r="A431" s="316"/>
      <c r="B431" s="332" t="s">
        <v>668</v>
      </c>
      <c r="C431" s="332">
        <f t="shared" ref="C431:I431" si="272">C429+C430-C432</f>
        <v>0</v>
      </c>
      <c r="D431" s="389">
        <f t="shared" si="272"/>
        <v>0</v>
      </c>
      <c r="E431" s="389">
        <f t="shared" si="272"/>
        <v>0</v>
      </c>
      <c r="F431" s="389">
        <f t="shared" si="272"/>
        <v>0</v>
      </c>
      <c r="G431" s="389">
        <f t="shared" si="272"/>
        <v>0</v>
      </c>
      <c r="H431" s="389">
        <f t="shared" si="272"/>
        <v>0</v>
      </c>
      <c r="I431" s="389">
        <f t="shared" si="272"/>
        <v>0</v>
      </c>
    </row>
    <row r="432" spans="1:9" hidden="1" x14ac:dyDescent="0.2">
      <c r="A432" s="316"/>
      <c r="B432" s="332" t="s">
        <v>333</v>
      </c>
      <c r="C432" s="332">
        <v>0</v>
      </c>
      <c r="D432" s="389">
        <v>0</v>
      </c>
      <c r="E432" s="389">
        <v>0</v>
      </c>
      <c r="F432" s="389">
        <v>0</v>
      </c>
      <c r="G432" s="389">
        <v>0</v>
      </c>
      <c r="H432" s="389">
        <v>0</v>
      </c>
      <c r="I432" s="389">
        <v>0</v>
      </c>
    </row>
    <row r="433" spans="1:9" hidden="1" x14ac:dyDescent="0.2">
      <c r="A433" s="316"/>
      <c r="B433" s="316"/>
      <c r="C433" s="316"/>
      <c r="D433" s="344"/>
      <c r="E433" s="344"/>
      <c r="F433" s="344"/>
      <c r="G433" s="344"/>
      <c r="H433" s="344"/>
      <c r="I433" s="344"/>
    </row>
    <row r="434" spans="1:9" hidden="1" x14ac:dyDescent="0.2">
      <c r="A434" s="316"/>
      <c r="B434" s="315" t="s">
        <v>669</v>
      </c>
      <c r="C434" s="332"/>
      <c r="D434" s="344"/>
      <c r="E434" s="344"/>
      <c r="F434" s="344"/>
      <c r="G434" s="344"/>
      <c r="H434" s="344"/>
      <c r="I434" s="344"/>
    </row>
    <row r="435" spans="1:9" hidden="1" x14ac:dyDescent="0.2">
      <c r="A435" s="343" t="s">
        <v>167</v>
      </c>
      <c r="B435" s="328" t="str">
        <f>+B416</f>
        <v>Grade 1</v>
      </c>
      <c r="C435" s="582">
        <f>+'Input Sheet'!C124</f>
        <v>0</v>
      </c>
      <c r="D435" s="582">
        <f>+'Input Sheet'!D124</f>
        <v>0</v>
      </c>
      <c r="E435" s="582">
        <f>+'Input Sheet'!E124</f>
        <v>0</v>
      </c>
      <c r="F435" s="582">
        <f>+'Input Sheet'!F124</f>
        <v>0</v>
      </c>
      <c r="G435" s="582">
        <f>+'Input Sheet'!G124</f>
        <v>0</v>
      </c>
      <c r="H435" s="582">
        <f>+'Input Sheet'!H124</f>
        <v>0</v>
      </c>
      <c r="I435" s="582">
        <f>+'Input Sheet'!I124</f>
        <v>0</v>
      </c>
    </row>
    <row r="436" spans="1:9" hidden="1" x14ac:dyDescent="0.2">
      <c r="A436" s="343" t="s">
        <v>168</v>
      </c>
      <c r="B436" s="328" t="str">
        <f>B422</f>
        <v>Grade 2</v>
      </c>
      <c r="C436" s="582">
        <f>+'Input Sheet'!C125</f>
        <v>0</v>
      </c>
      <c r="D436" s="582">
        <f>+'Input Sheet'!D125</f>
        <v>0</v>
      </c>
      <c r="E436" s="582">
        <f>+'Input Sheet'!E125</f>
        <v>0</v>
      </c>
      <c r="F436" s="582">
        <f>+'Input Sheet'!F125</f>
        <v>0</v>
      </c>
      <c r="G436" s="582">
        <f>+'Input Sheet'!G125</f>
        <v>0</v>
      </c>
      <c r="H436" s="582">
        <f>+'Input Sheet'!H125</f>
        <v>0</v>
      </c>
      <c r="I436" s="582">
        <f>+'Input Sheet'!I125</f>
        <v>0</v>
      </c>
    </row>
    <row r="437" spans="1:9" hidden="1" x14ac:dyDescent="0.2">
      <c r="A437" s="343" t="s">
        <v>169</v>
      </c>
      <c r="B437" s="328" t="str">
        <f>B428</f>
        <v>Animal Feed</v>
      </c>
      <c r="C437" s="582">
        <f>+'Input Sheet'!C126</f>
        <v>0</v>
      </c>
      <c r="D437" s="582">
        <f>+'Input Sheet'!D126</f>
        <v>0</v>
      </c>
      <c r="E437" s="582">
        <f>+'Input Sheet'!E126</f>
        <v>0</v>
      </c>
      <c r="F437" s="582">
        <f>+'Input Sheet'!F126</f>
        <v>0</v>
      </c>
      <c r="G437" s="582">
        <f>+'Input Sheet'!G126</f>
        <v>0</v>
      </c>
      <c r="H437" s="582">
        <f>+'Input Sheet'!H126</f>
        <v>0</v>
      </c>
      <c r="I437" s="582">
        <f>+'Input Sheet'!I126</f>
        <v>0</v>
      </c>
    </row>
    <row r="438" spans="1:9" hidden="1" x14ac:dyDescent="0.2">
      <c r="A438" s="316"/>
      <c r="B438" s="316"/>
      <c r="C438" s="316"/>
      <c r="D438" s="344"/>
      <c r="E438" s="344"/>
      <c r="F438" s="344"/>
      <c r="G438" s="344"/>
      <c r="H438" s="344"/>
      <c r="I438" s="344"/>
    </row>
    <row r="439" spans="1:9" hidden="1" x14ac:dyDescent="0.2">
      <c r="A439" s="317" t="s">
        <v>167</v>
      </c>
      <c r="B439" s="317" t="str">
        <f>B435</f>
        <v>Grade 1</v>
      </c>
      <c r="C439" s="316"/>
      <c r="D439" s="344"/>
      <c r="E439" s="344"/>
      <c r="F439" s="344"/>
      <c r="G439" s="344"/>
      <c r="H439" s="344"/>
      <c r="I439" s="344"/>
    </row>
    <row r="440" spans="1:9" hidden="1" x14ac:dyDescent="0.2">
      <c r="A440" s="316"/>
      <c r="B440" s="332" t="s">
        <v>670</v>
      </c>
      <c r="C440" s="339">
        <v>0</v>
      </c>
      <c r="D440" s="428">
        <f t="shared" ref="D440:I440" si="273">C441</f>
        <v>0</v>
      </c>
      <c r="E440" s="428">
        <f t="shared" si="273"/>
        <v>0</v>
      </c>
      <c r="F440" s="428">
        <f t="shared" si="273"/>
        <v>0</v>
      </c>
      <c r="G440" s="428">
        <f t="shared" si="273"/>
        <v>0</v>
      </c>
      <c r="H440" s="428">
        <f t="shared" si="273"/>
        <v>0</v>
      </c>
      <c r="I440" s="428">
        <f t="shared" si="273"/>
        <v>0</v>
      </c>
    </row>
    <row r="441" spans="1:9" hidden="1" x14ac:dyDescent="0.2">
      <c r="A441" s="316"/>
      <c r="B441" s="332" t="s">
        <v>671</v>
      </c>
      <c r="C441" s="339">
        <f t="shared" ref="C441:I441" si="274">C420*C435/100000</f>
        <v>0</v>
      </c>
      <c r="D441" s="428">
        <f t="shared" si="274"/>
        <v>0</v>
      </c>
      <c r="E441" s="428">
        <f t="shared" si="274"/>
        <v>0</v>
      </c>
      <c r="F441" s="428">
        <f t="shared" si="274"/>
        <v>0</v>
      </c>
      <c r="G441" s="428">
        <f t="shared" si="274"/>
        <v>0</v>
      </c>
      <c r="H441" s="428">
        <f t="shared" si="274"/>
        <v>0</v>
      </c>
      <c r="I441" s="428">
        <f t="shared" si="274"/>
        <v>0</v>
      </c>
    </row>
    <row r="442" spans="1:9" hidden="1" x14ac:dyDescent="0.2">
      <c r="A442" s="316"/>
      <c r="B442" s="316"/>
      <c r="C442" s="316"/>
      <c r="D442" s="344"/>
      <c r="E442" s="344"/>
      <c r="F442" s="344"/>
      <c r="G442" s="344"/>
      <c r="H442" s="344"/>
      <c r="I442" s="344"/>
    </row>
    <row r="443" spans="1:9" hidden="1" x14ac:dyDescent="0.2">
      <c r="A443" s="317" t="s">
        <v>168</v>
      </c>
      <c r="B443" s="317" t="str">
        <f>B422</f>
        <v>Grade 2</v>
      </c>
      <c r="C443" s="316"/>
      <c r="D443" s="344"/>
      <c r="E443" s="344"/>
      <c r="F443" s="344"/>
      <c r="G443" s="344"/>
      <c r="H443" s="344"/>
      <c r="I443" s="344"/>
    </row>
    <row r="444" spans="1:9" hidden="1" x14ac:dyDescent="0.2">
      <c r="A444" s="316"/>
      <c r="B444" s="332" t="s">
        <v>670</v>
      </c>
      <c r="C444" s="339">
        <v>0</v>
      </c>
      <c r="D444" s="428">
        <f t="shared" ref="D444:I444" si="275">C445</f>
        <v>0</v>
      </c>
      <c r="E444" s="428">
        <f t="shared" si="275"/>
        <v>0</v>
      </c>
      <c r="F444" s="428">
        <f t="shared" si="275"/>
        <v>0</v>
      </c>
      <c r="G444" s="428">
        <f t="shared" si="275"/>
        <v>0</v>
      </c>
      <c r="H444" s="428">
        <f t="shared" si="275"/>
        <v>0</v>
      </c>
      <c r="I444" s="428">
        <f t="shared" si="275"/>
        <v>0</v>
      </c>
    </row>
    <row r="445" spans="1:9" hidden="1" x14ac:dyDescent="0.2">
      <c r="A445" s="316"/>
      <c r="B445" s="332" t="s">
        <v>671</v>
      </c>
      <c r="C445" s="339">
        <f t="shared" ref="C445:I445" si="276">C436*C426/100000</f>
        <v>0</v>
      </c>
      <c r="D445" s="428">
        <f t="shared" si="276"/>
        <v>0</v>
      </c>
      <c r="E445" s="428">
        <f t="shared" si="276"/>
        <v>0</v>
      </c>
      <c r="F445" s="428">
        <f t="shared" si="276"/>
        <v>0</v>
      </c>
      <c r="G445" s="428">
        <f t="shared" si="276"/>
        <v>0</v>
      </c>
      <c r="H445" s="428">
        <f t="shared" si="276"/>
        <v>0</v>
      </c>
      <c r="I445" s="428">
        <f t="shared" si="276"/>
        <v>0</v>
      </c>
    </row>
    <row r="446" spans="1:9" hidden="1" x14ac:dyDescent="0.2">
      <c r="A446" s="316"/>
      <c r="B446" s="332"/>
      <c r="C446" s="339"/>
      <c r="D446" s="428"/>
      <c r="E446" s="428"/>
      <c r="F446" s="428"/>
      <c r="G446" s="428"/>
      <c r="H446" s="428"/>
      <c r="I446" s="428"/>
    </row>
    <row r="447" spans="1:9" hidden="1" x14ac:dyDescent="0.2">
      <c r="A447" s="317" t="s">
        <v>168</v>
      </c>
      <c r="B447" s="317" t="str">
        <f>B428</f>
        <v>Animal Feed</v>
      </c>
      <c r="C447" s="316"/>
      <c r="D447" s="344"/>
      <c r="E447" s="344"/>
      <c r="F447" s="344"/>
      <c r="G447" s="344"/>
      <c r="H447" s="344"/>
      <c r="I447" s="344"/>
    </row>
    <row r="448" spans="1:9" hidden="1" x14ac:dyDescent="0.2">
      <c r="A448" s="316"/>
      <c r="B448" s="332" t="s">
        <v>670</v>
      </c>
      <c r="C448" s="339">
        <v>0</v>
      </c>
      <c r="D448" s="428">
        <f t="shared" ref="D448:I448" si="277">C449</f>
        <v>0</v>
      </c>
      <c r="E448" s="428">
        <f t="shared" si="277"/>
        <v>0</v>
      </c>
      <c r="F448" s="428">
        <f t="shared" si="277"/>
        <v>0</v>
      </c>
      <c r="G448" s="428">
        <f t="shared" si="277"/>
        <v>0</v>
      </c>
      <c r="H448" s="428">
        <f t="shared" si="277"/>
        <v>0</v>
      </c>
      <c r="I448" s="428">
        <f t="shared" si="277"/>
        <v>0</v>
      </c>
    </row>
    <row r="449" spans="1:9" hidden="1" x14ac:dyDescent="0.2">
      <c r="A449" s="316"/>
      <c r="B449" s="332" t="s">
        <v>671</v>
      </c>
      <c r="C449" s="339">
        <f t="shared" ref="C449:I449" si="278">C437*C432/100000</f>
        <v>0</v>
      </c>
      <c r="D449" s="428">
        <f t="shared" si="278"/>
        <v>0</v>
      </c>
      <c r="E449" s="428">
        <f t="shared" si="278"/>
        <v>0</v>
      </c>
      <c r="F449" s="428">
        <f t="shared" si="278"/>
        <v>0</v>
      </c>
      <c r="G449" s="428">
        <f t="shared" si="278"/>
        <v>0</v>
      </c>
      <c r="H449" s="428">
        <f t="shared" si="278"/>
        <v>0</v>
      </c>
      <c r="I449" s="428">
        <f t="shared" si="278"/>
        <v>0</v>
      </c>
    </row>
    <row r="450" spans="1:9" hidden="1" x14ac:dyDescent="0.2">
      <c r="A450" s="316"/>
      <c r="B450" s="332"/>
      <c r="C450" s="339"/>
      <c r="D450" s="428"/>
      <c r="E450" s="428"/>
      <c r="F450" s="428"/>
      <c r="G450" s="428"/>
      <c r="H450" s="428"/>
      <c r="I450" s="428"/>
    </row>
    <row r="451" spans="1:9" hidden="1" x14ac:dyDescent="0.2">
      <c r="A451" s="343"/>
      <c r="B451" s="580" t="str">
        <f>+'Input Sheet'!B61</f>
        <v>Finished Goods  -Chilli(MT)</v>
      </c>
      <c r="C451" s="326"/>
      <c r="D451" s="418"/>
      <c r="E451" s="418"/>
      <c r="F451" s="418"/>
      <c r="G451" s="418"/>
      <c r="H451" s="418"/>
      <c r="I451" s="418"/>
    </row>
    <row r="452" spans="1:9" hidden="1" x14ac:dyDescent="0.2">
      <c r="A452" s="338" t="s">
        <v>167</v>
      </c>
      <c r="B452" s="315" t="str">
        <f>+B228</f>
        <v>Green Chilli</v>
      </c>
      <c r="C452" s="332"/>
      <c r="D452" s="389"/>
      <c r="E452" s="389"/>
      <c r="F452" s="389"/>
      <c r="G452" s="389"/>
      <c r="H452" s="344"/>
      <c r="I452" s="344"/>
    </row>
    <row r="453" spans="1:9" hidden="1" x14ac:dyDescent="0.2">
      <c r="A453" s="343"/>
      <c r="B453" s="332" t="s">
        <v>666</v>
      </c>
      <c r="C453" s="332">
        <f>0</f>
        <v>0</v>
      </c>
      <c r="D453" s="389">
        <f t="shared" ref="D453:I453" si="279">C456</f>
        <v>0</v>
      </c>
      <c r="E453" s="389">
        <f t="shared" si="279"/>
        <v>0</v>
      </c>
      <c r="F453" s="389">
        <f t="shared" si="279"/>
        <v>0</v>
      </c>
      <c r="G453" s="389">
        <f t="shared" si="279"/>
        <v>0</v>
      </c>
      <c r="H453" s="389">
        <f t="shared" si="279"/>
        <v>0</v>
      </c>
      <c r="I453" s="389">
        <f t="shared" si="279"/>
        <v>0</v>
      </c>
    </row>
    <row r="454" spans="1:9" hidden="1" x14ac:dyDescent="0.2">
      <c r="A454" s="343"/>
      <c r="B454" s="332" t="s">
        <v>667</v>
      </c>
      <c r="C454" s="333">
        <f t="shared" ref="C454:I454" si="280">+B60</f>
        <v>0</v>
      </c>
      <c r="D454" s="389">
        <f t="shared" si="280"/>
        <v>0</v>
      </c>
      <c r="E454" s="389">
        <f t="shared" si="280"/>
        <v>0</v>
      </c>
      <c r="F454" s="389">
        <f t="shared" si="280"/>
        <v>0</v>
      </c>
      <c r="G454" s="389">
        <f t="shared" si="280"/>
        <v>0</v>
      </c>
      <c r="H454" s="389">
        <f t="shared" si="280"/>
        <v>0</v>
      </c>
      <c r="I454" s="389">
        <f t="shared" si="280"/>
        <v>0</v>
      </c>
    </row>
    <row r="455" spans="1:9" hidden="1" x14ac:dyDescent="0.2">
      <c r="A455" s="343"/>
      <c r="B455" s="332" t="s">
        <v>668</v>
      </c>
      <c r="C455" s="332">
        <f t="shared" ref="C455:I455" si="281">C453+C454-C456</f>
        <v>0</v>
      </c>
      <c r="D455" s="389">
        <f t="shared" si="281"/>
        <v>0</v>
      </c>
      <c r="E455" s="389">
        <f t="shared" si="281"/>
        <v>0</v>
      </c>
      <c r="F455" s="389">
        <f t="shared" si="281"/>
        <v>0</v>
      </c>
      <c r="G455" s="389">
        <f t="shared" si="281"/>
        <v>0</v>
      </c>
      <c r="H455" s="389">
        <f t="shared" si="281"/>
        <v>0</v>
      </c>
      <c r="I455" s="389">
        <f t="shared" si="281"/>
        <v>0</v>
      </c>
    </row>
    <row r="456" spans="1:9" hidden="1" x14ac:dyDescent="0.2">
      <c r="A456" s="343"/>
      <c r="B456" s="332" t="s">
        <v>333</v>
      </c>
      <c r="C456" s="332">
        <f t="shared" ref="C456:I456" si="282">ROUND((C454+C453)/24,0)</f>
        <v>0</v>
      </c>
      <c r="D456" s="389">
        <f t="shared" si="282"/>
        <v>0</v>
      </c>
      <c r="E456" s="389">
        <f t="shared" si="282"/>
        <v>0</v>
      </c>
      <c r="F456" s="389">
        <f t="shared" si="282"/>
        <v>0</v>
      </c>
      <c r="G456" s="389">
        <f t="shared" si="282"/>
        <v>0</v>
      </c>
      <c r="H456" s="389">
        <f t="shared" si="282"/>
        <v>0</v>
      </c>
      <c r="I456" s="389">
        <f t="shared" si="282"/>
        <v>0</v>
      </c>
    </row>
    <row r="457" spans="1:9" hidden="1" x14ac:dyDescent="0.2">
      <c r="A457" s="316"/>
      <c r="B457" s="316"/>
      <c r="C457" s="316"/>
      <c r="D457" s="344"/>
      <c r="E457" s="344"/>
      <c r="F457" s="344"/>
      <c r="G457" s="344"/>
      <c r="H457" s="344"/>
      <c r="I457" s="344"/>
    </row>
    <row r="458" spans="1:9" hidden="1" x14ac:dyDescent="0.2">
      <c r="A458" s="338" t="s">
        <v>168</v>
      </c>
      <c r="B458" s="315" t="str">
        <f>+B232</f>
        <v>Red Chilli</v>
      </c>
      <c r="C458" s="332"/>
      <c r="D458" s="389"/>
      <c r="E458" s="389"/>
      <c r="F458" s="389"/>
      <c r="G458" s="389"/>
      <c r="H458" s="344"/>
      <c r="I458" s="344"/>
    </row>
    <row r="459" spans="1:9" hidden="1" x14ac:dyDescent="0.2">
      <c r="A459" s="343"/>
      <c r="B459" s="332" t="s">
        <v>666</v>
      </c>
      <c r="C459" s="332">
        <f>0</f>
        <v>0</v>
      </c>
      <c r="D459" s="389">
        <f t="shared" ref="D459:I459" si="283">C462</f>
        <v>0</v>
      </c>
      <c r="E459" s="389">
        <f t="shared" si="283"/>
        <v>0</v>
      </c>
      <c r="F459" s="389">
        <f t="shared" si="283"/>
        <v>0</v>
      </c>
      <c r="G459" s="389">
        <f t="shared" si="283"/>
        <v>0</v>
      </c>
      <c r="H459" s="389">
        <f t="shared" si="283"/>
        <v>0</v>
      </c>
      <c r="I459" s="389">
        <f t="shared" si="283"/>
        <v>0</v>
      </c>
    </row>
    <row r="460" spans="1:9" hidden="1" x14ac:dyDescent="0.2">
      <c r="A460" s="343"/>
      <c r="B460" s="332" t="s">
        <v>667</v>
      </c>
      <c r="C460" s="333">
        <f t="shared" ref="C460:I460" si="284">+B61</f>
        <v>0</v>
      </c>
      <c r="D460" s="389">
        <f t="shared" si="284"/>
        <v>0</v>
      </c>
      <c r="E460" s="389">
        <f t="shared" si="284"/>
        <v>0</v>
      </c>
      <c r="F460" s="389">
        <f t="shared" si="284"/>
        <v>0</v>
      </c>
      <c r="G460" s="389">
        <f t="shared" si="284"/>
        <v>0</v>
      </c>
      <c r="H460" s="389">
        <f t="shared" si="284"/>
        <v>0</v>
      </c>
      <c r="I460" s="389">
        <f t="shared" si="284"/>
        <v>0</v>
      </c>
    </row>
    <row r="461" spans="1:9" hidden="1" x14ac:dyDescent="0.2">
      <c r="A461" s="343"/>
      <c r="B461" s="332" t="s">
        <v>668</v>
      </c>
      <c r="C461" s="332">
        <f t="shared" ref="C461:I461" si="285">C459+C460-C462</f>
        <v>0</v>
      </c>
      <c r="D461" s="389">
        <f t="shared" si="285"/>
        <v>0</v>
      </c>
      <c r="E461" s="389">
        <f t="shared" si="285"/>
        <v>0</v>
      </c>
      <c r="F461" s="389">
        <f t="shared" si="285"/>
        <v>0</v>
      </c>
      <c r="G461" s="389">
        <f t="shared" si="285"/>
        <v>0</v>
      </c>
      <c r="H461" s="389">
        <f t="shared" si="285"/>
        <v>0</v>
      </c>
      <c r="I461" s="389">
        <f t="shared" si="285"/>
        <v>0</v>
      </c>
    </row>
    <row r="462" spans="1:9" hidden="1" x14ac:dyDescent="0.2">
      <c r="A462" s="343"/>
      <c r="B462" s="332" t="s">
        <v>333</v>
      </c>
      <c r="C462" s="332">
        <v>0</v>
      </c>
      <c r="D462" s="389">
        <v>0</v>
      </c>
      <c r="E462" s="389">
        <v>0</v>
      </c>
      <c r="F462" s="389">
        <v>0</v>
      </c>
      <c r="G462" s="389">
        <v>0</v>
      </c>
      <c r="H462" s="389">
        <v>0</v>
      </c>
      <c r="I462" s="389">
        <v>0</v>
      </c>
    </row>
    <row r="463" spans="1:9" hidden="1" x14ac:dyDescent="0.2">
      <c r="A463" s="316"/>
      <c r="B463" s="316"/>
      <c r="C463" s="316"/>
      <c r="D463" s="344"/>
      <c r="E463" s="344"/>
      <c r="F463" s="344"/>
      <c r="G463" s="344"/>
      <c r="H463" s="344"/>
      <c r="I463" s="344"/>
    </row>
    <row r="464" spans="1:9" hidden="1" x14ac:dyDescent="0.2">
      <c r="A464" s="316"/>
      <c r="B464" s="315" t="s">
        <v>669</v>
      </c>
      <c r="C464" s="332"/>
      <c r="D464" s="344"/>
      <c r="E464" s="344"/>
      <c r="F464" s="344"/>
      <c r="G464" s="344"/>
      <c r="H464" s="344"/>
      <c r="I464" s="344"/>
    </row>
    <row r="465" spans="1:9" hidden="1" x14ac:dyDescent="0.2">
      <c r="A465" s="343" t="s">
        <v>167</v>
      </c>
      <c r="B465" s="328" t="str">
        <f>+B452</f>
        <v>Green Chilli</v>
      </c>
      <c r="C465" s="582">
        <f>+'Input Sheet'!C129</f>
        <v>0</v>
      </c>
      <c r="D465" s="582">
        <f>+'Input Sheet'!D129</f>
        <v>0</v>
      </c>
      <c r="E465" s="582">
        <f>+'Input Sheet'!E129</f>
        <v>0</v>
      </c>
      <c r="F465" s="582">
        <f>+'Input Sheet'!F129</f>
        <v>0</v>
      </c>
      <c r="G465" s="582">
        <f>+'Input Sheet'!G129</f>
        <v>0</v>
      </c>
      <c r="H465" s="582">
        <f>+'Input Sheet'!H129</f>
        <v>0</v>
      </c>
      <c r="I465" s="582">
        <f>+'Input Sheet'!I129</f>
        <v>0</v>
      </c>
    </row>
    <row r="466" spans="1:9" hidden="1" x14ac:dyDescent="0.2">
      <c r="A466" s="343" t="s">
        <v>168</v>
      </c>
      <c r="B466" s="328" t="str">
        <f>+B458</f>
        <v>Red Chilli</v>
      </c>
      <c r="C466" s="582">
        <f>+'Input Sheet'!C130</f>
        <v>0</v>
      </c>
      <c r="D466" s="582">
        <f>+'Input Sheet'!D130</f>
        <v>0</v>
      </c>
      <c r="E466" s="582">
        <f>+'Input Sheet'!E130</f>
        <v>0</v>
      </c>
      <c r="F466" s="582">
        <f>+'Input Sheet'!F130</f>
        <v>0</v>
      </c>
      <c r="G466" s="582">
        <f>+'Input Sheet'!G130</f>
        <v>0</v>
      </c>
      <c r="H466" s="582">
        <f>+'Input Sheet'!H130</f>
        <v>0</v>
      </c>
      <c r="I466" s="582">
        <f>+'Input Sheet'!I130</f>
        <v>0</v>
      </c>
    </row>
    <row r="467" spans="1:9" hidden="1" x14ac:dyDescent="0.2">
      <c r="A467" s="316"/>
      <c r="B467" s="316"/>
      <c r="C467" s="316"/>
      <c r="D467" s="344"/>
      <c r="E467" s="344"/>
      <c r="F467" s="344"/>
      <c r="G467" s="344"/>
      <c r="H467" s="344"/>
      <c r="I467" s="344"/>
    </row>
    <row r="468" spans="1:9" hidden="1" x14ac:dyDescent="0.2">
      <c r="A468" s="317" t="s">
        <v>167</v>
      </c>
      <c r="B468" s="317" t="str">
        <f>B465</f>
        <v>Green Chilli</v>
      </c>
      <c r="C468" s="316"/>
      <c r="D468" s="344"/>
      <c r="E468" s="344"/>
      <c r="F468" s="344"/>
      <c r="G468" s="344"/>
      <c r="H468" s="344"/>
      <c r="I468" s="344"/>
    </row>
    <row r="469" spans="1:9" hidden="1" x14ac:dyDescent="0.2">
      <c r="A469" s="316"/>
      <c r="B469" s="332" t="s">
        <v>670</v>
      </c>
      <c r="C469" s="339">
        <v>0</v>
      </c>
      <c r="D469" s="428">
        <f t="shared" ref="D469:I469" si="286">C470</f>
        <v>0</v>
      </c>
      <c r="E469" s="428">
        <f t="shared" si="286"/>
        <v>0</v>
      </c>
      <c r="F469" s="428">
        <f t="shared" si="286"/>
        <v>0</v>
      </c>
      <c r="G469" s="428">
        <f t="shared" si="286"/>
        <v>0</v>
      </c>
      <c r="H469" s="428">
        <f t="shared" si="286"/>
        <v>0</v>
      </c>
      <c r="I469" s="428">
        <f t="shared" si="286"/>
        <v>0</v>
      </c>
    </row>
    <row r="470" spans="1:9" hidden="1" x14ac:dyDescent="0.2">
      <c r="A470" s="316"/>
      <c r="B470" s="332" t="s">
        <v>671</v>
      </c>
      <c r="C470" s="339">
        <f t="shared" ref="C470:I470" si="287">C456*C465/100000</f>
        <v>0</v>
      </c>
      <c r="D470" s="428">
        <f t="shared" si="287"/>
        <v>0</v>
      </c>
      <c r="E470" s="428">
        <f t="shared" si="287"/>
        <v>0</v>
      </c>
      <c r="F470" s="428">
        <f t="shared" si="287"/>
        <v>0</v>
      </c>
      <c r="G470" s="428">
        <f t="shared" si="287"/>
        <v>0</v>
      </c>
      <c r="H470" s="428">
        <f t="shared" si="287"/>
        <v>0</v>
      </c>
      <c r="I470" s="428">
        <f t="shared" si="287"/>
        <v>0</v>
      </c>
    </row>
    <row r="471" spans="1:9" hidden="1" x14ac:dyDescent="0.2">
      <c r="A471" s="316"/>
      <c r="B471" s="316"/>
      <c r="C471" s="316"/>
      <c r="D471" s="344"/>
      <c r="E471" s="344"/>
      <c r="F471" s="344"/>
      <c r="G471" s="344"/>
      <c r="H471" s="344"/>
      <c r="I471" s="344"/>
    </row>
    <row r="472" spans="1:9" hidden="1" x14ac:dyDescent="0.2">
      <c r="A472" s="317" t="s">
        <v>167</v>
      </c>
      <c r="B472" s="317" t="str">
        <f>+B466</f>
        <v>Red Chilli</v>
      </c>
      <c r="C472" s="316"/>
      <c r="D472" s="344"/>
      <c r="E472" s="344"/>
      <c r="F472" s="344"/>
      <c r="G472" s="344"/>
      <c r="H472" s="344"/>
      <c r="I472" s="344"/>
    </row>
    <row r="473" spans="1:9" hidden="1" x14ac:dyDescent="0.2">
      <c r="A473" s="316"/>
      <c r="B473" s="332" t="s">
        <v>670</v>
      </c>
      <c r="C473" s="339">
        <v>0</v>
      </c>
      <c r="D473" s="428">
        <f t="shared" ref="D473:I473" si="288">C474</f>
        <v>0</v>
      </c>
      <c r="E473" s="428">
        <f t="shared" si="288"/>
        <v>0</v>
      </c>
      <c r="F473" s="428">
        <f t="shared" si="288"/>
        <v>0</v>
      </c>
      <c r="G473" s="428">
        <f t="shared" si="288"/>
        <v>0</v>
      </c>
      <c r="H473" s="428">
        <f t="shared" si="288"/>
        <v>0</v>
      </c>
      <c r="I473" s="428">
        <f t="shared" si="288"/>
        <v>0</v>
      </c>
    </row>
    <row r="474" spans="1:9" hidden="1" x14ac:dyDescent="0.2">
      <c r="A474" s="316"/>
      <c r="B474" s="332" t="s">
        <v>671</v>
      </c>
      <c r="C474" s="339">
        <f t="shared" ref="C474:I474" si="289">C462*C466/100000</f>
        <v>0</v>
      </c>
      <c r="D474" s="428">
        <f t="shared" si="289"/>
        <v>0</v>
      </c>
      <c r="E474" s="428">
        <f t="shared" si="289"/>
        <v>0</v>
      </c>
      <c r="F474" s="428">
        <f t="shared" si="289"/>
        <v>0</v>
      </c>
      <c r="G474" s="428">
        <f t="shared" si="289"/>
        <v>0</v>
      </c>
      <c r="H474" s="428">
        <f t="shared" si="289"/>
        <v>0</v>
      </c>
      <c r="I474" s="428">
        <f t="shared" si="289"/>
        <v>0</v>
      </c>
    </row>
    <row r="475" spans="1:9" hidden="1" x14ac:dyDescent="0.2">
      <c r="A475" s="316"/>
      <c r="B475" s="332"/>
      <c r="C475" s="339"/>
      <c r="D475" s="428"/>
      <c r="E475" s="428"/>
      <c r="F475" s="428"/>
      <c r="G475" s="428"/>
      <c r="H475" s="428"/>
      <c r="I475" s="428"/>
    </row>
    <row r="476" spans="1:9" hidden="1" x14ac:dyDescent="0.2">
      <c r="A476" s="316"/>
      <c r="B476" s="316"/>
      <c r="C476" s="316"/>
      <c r="D476" s="344"/>
      <c r="E476" s="344"/>
      <c r="F476" s="344"/>
      <c r="G476" s="344"/>
      <c r="H476" s="344"/>
      <c r="I476" s="344"/>
    </row>
    <row r="477" spans="1:9" hidden="1" x14ac:dyDescent="0.2">
      <c r="A477" s="316"/>
      <c r="B477" s="316"/>
      <c r="C477" s="316"/>
      <c r="D477" s="344"/>
      <c r="E477" s="344"/>
      <c r="F477" s="344"/>
      <c r="G477" s="344"/>
      <c r="H477" s="344"/>
      <c r="I477" s="344"/>
    </row>
    <row r="478" spans="1:9" x14ac:dyDescent="0.2">
      <c r="A478" s="316"/>
      <c r="B478" s="317" t="s">
        <v>672</v>
      </c>
      <c r="C478" s="316"/>
      <c r="D478" s="344"/>
      <c r="E478" s="344"/>
      <c r="F478" s="344"/>
      <c r="G478" s="344"/>
      <c r="H478" s="344"/>
      <c r="I478" s="344"/>
    </row>
    <row r="479" spans="1:9" x14ac:dyDescent="0.2">
      <c r="A479" s="316"/>
      <c r="B479" s="315" t="s">
        <v>670</v>
      </c>
      <c r="C479" s="340">
        <f t="shared" ref="C479:I480" si="290">C292+C300+C304+C352+C360+C408+C440+C444+C448+C469</f>
        <v>0</v>
      </c>
      <c r="D479" s="429">
        <f t="shared" si="290"/>
        <v>5.5755439814814807</v>
      </c>
      <c r="E479" s="429">
        <f t="shared" si="290"/>
        <v>12.369981481481481</v>
      </c>
      <c r="F479" s="429">
        <f t="shared" si="290"/>
        <v>20.654274999999998</v>
      </c>
      <c r="G479" s="429">
        <f t="shared" si="290"/>
        <v>30.570712962962961</v>
      </c>
      <c r="H479" s="429">
        <f t="shared" si="290"/>
        <v>42.077910185185175</v>
      </c>
      <c r="I479" s="429">
        <f t="shared" si="290"/>
        <v>55.392925925925915</v>
      </c>
    </row>
    <row r="480" spans="1:9" x14ac:dyDescent="0.2">
      <c r="A480" s="316"/>
      <c r="B480" s="315" t="s">
        <v>671</v>
      </c>
      <c r="C480" s="340">
        <f t="shared" si="290"/>
        <v>5.5755439814814807</v>
      </c>
      <c r="D480" s="429">
        <f t="shared" si="290"/>
        <v>12.369981481481481</v>
      </c>
      <c r="E480" s="429">
        <f t="shared" si="290"/>
        <v>20.654274999999998</v>
      </c>
      <c r="F480" s="429">
        <f t="shared" si="290"/>
        <v>30.570712962962961</v>
      </c>
      <c r="G480" s="429">
        <f t="shared" si="290"/>
        <v>42.077910185185175</v>
      </c>
      <c r="H480" s="429">
        <f t="shared" si="290"/>
        <v>55.392925925925915</v>
      </c>
      <c r="I480" s="429">
        <f t="shared" si="290"/>
        <v>70.911291666666671</v>
      </c>
    </row>
    <row r="484" spans="1:10" ht="27" hidden="1" x14ac:dyDescent="0.3">
      <c r="A484" s="542" t="s">
        <v>675</v>
      </c>
      <c r="B484" s="542"/>
      <c r="C484" s="542"/>
      <c r="D484" s="542"/>
      <c r="E484" s="542"/>
      <c r="F484" s="542"/>
      <c r="G484" s="543"/>
      <c r="H484" s="543"/>
    </row>
    <row r="485" spans="1:10" ht="15.75" hidden="1" x14ac:dyDescent="0.2">
      <c r="A485" s="346"/>
      <c r="B485" s="346"/>
      <c r="C485" s="347"/>
      <c r="D485" s="431"/>
      <c r="E485" s="431"/>
      <c r="F485" s="431"/>
      <c r="G485" s="431"/>
      <c r="H485" s="431"/>
    </row>
    <row r="486" spans="1:10" hidden="1" x14ac:dyDescent="0.2">
      <c r="A486" s="328" t="s">
        <v>890</v>
      </c>
      <c r="B486" s="584">
        <f>+'Input Sheet'!C144</f>
        <v>0</v>
      </c>
      <c r="C486" s="349"/>
      <c r="D486" s="432"/>
      <c r="E486" s="432"/>
      <c r="F486" s="432"/>
      <c r="G486" s="432"/>
      <c r="H486" s="432"/>
      <c r="J486" s="365">
        <v>6</v>
      </c>
    </row>
    <row r="487" spans="1:10" hidden="1" x14ac:dyDescent="0.2">
      <c r="A487" s="350" t="s">
        <v>677</v>
      </c>
      <c r="B487" s="584">
        <v>0</v>
      </c>
      <c r="C487" s="349"/>
      <c r="D487" s="432"/>
      <c r="E487" s="432"/>
      <c r="F487" s="432"/>
      <c r="G487" s="432"/>
      <c r="H487" s="432"/>
    </row>
    <row r="488" spans="1:10" hidden="1" x14ac:dyDescent="0.2">
      <c r="A488" s="350" t="s">
        <v>678</v>
      </c>
      <c r="B488" s="584">
        <v>0</v>
      </c>
      <c r="C488" s="349"/>
      <c r="D488" s="432"/>
      <c r="E488" s="432"/>
      <c r="F488" s="432"/>
      <c r="G488" s="432"/>
      <c r="H488" s="432"/>
    </row>
    <row r="489" spans="1:10" hidden="1" x14ac:dyDescent="0.2">
      <c r="A489" s="350" t="s">
        <v>679</v>
      </c>
      <c r="B489" s="348" t="e">
        <f>B486*B488*30/B487</f>
        <v>#DIV/0!</v>
      </c>
      <c r="C489" s="349"/>
      <c r="D489" s="432"/>
      <c r="E489" s="432"/>
      <c r="F489" s="432"/>
      <c r="G489" s="432"/>
      <c r="H489" s="432"/>
    </row>
    <row r="490" spans="1:10" hidden="1" x14ac:dyDescent="0.2">
      <c r="A490" s="350" t="s">
        <v>686</v>
      </c>
      <c r="B490" s="585">
        <f>+'Input Sheet'!C147</f>
        <v>0</v>
      </c>
      <c r="C490" s="349"/>
      <c r="D490" s="432"/>
      <c r="E490" s="432"/>
      <c r="F490" s="432"/>
      <c r="G490" s="432"/>
      <c r="H490" s="432"/>
    </row>
    <row r="491" spans="1:10" hidden="1" x14ac:dyDescent="0.2">
      <c r="A491" s="605" t="s">
        <v>866</v>
      </c>
      <c r="B491" s="352" t="e">
        <f>+B489*B490*10/100000</f>
        <v>#DIV/0!</v>
      </c>
      <c r="C491" s="349"/>
      <c r="D491" s="432"/>
      <c r="E491" s="432"/>
      <c r="F491" s="432"/>
      <c r="G491" s="432"/>
      <c r="H491" s="432"/>
    </row>
    <row r="492" spans="1:10" hidden="1" x14ac:dyDescent="0.2">
      <c r="A492" s="350"/>
      <c r="B492" s="586"/>
      <c r="C492" s="587"/>
      <c r="D492" s="432"/>
      <c r="E492" s="432"/>
      <c r="F492" s="432"/>
      <c r="G492" s="432"/>
      <c r="H492" s="432"/>
    </row>
    <row r="493" spans="1:10" hidden="1" x14ac:dyDescent="0.2">
      <c r="A493" s="350"/>
      <c r="B493" s="350"/>
      <c r="C493" s="353"/>
      <c r="D493" s="433"/>
      <c r="E493" s="433"/>
      <c r="F493" s="433"/>
      <c r="G493" s="433"/>
      <c r="H493" s="433"/>
    </row>
    <row r="494" spans="1:10" hidden="1" x14ac:dyDescent="0.2">
      <c r="A494" s="122" t="s">
        <v>0</v>
      </c>
      <c r="B494" s="122" t="s">
        <v>2</v>
      </c>
      <c r="C494" s="122" t="s">
        <v>3</v>
      </c>
      <c r="D494" s="122" t="s">
        <v>4</v>
      </c>
      <c r="E494" s="122" t="s">
        <v>5</v>
      </c>
      <c r="F494" s="122" t="s">
        <v>6</v>
      </c>
      <c r="G494" s="122" t="s">
        <v>163</v>
      </c>
      <c r="H494" s="122" t="s">
        <v>162</v>
      </c>
    </row>
    <row r="495" spans="1:10" hidden="1" x14ac:dyDescent="0.2">
      <c r="A495" s="354" t="s">
        <v>680</v>
      </c>
      <c r="B495" s="355"/>
      <c r="C495" s="355"/>
      <c r="D495" s="434"/>
      <c r="E495" s="434"/>
      <c r="F495" s="434"/>
      <c r="G495" s="434"/>
      <c r="H495" s="434"/>
    </row>
    <row r="496" spans="1:10" hidden="1" x14ac:dyDescent="0.2">
      <c r="A496" s="356" t="s">
        <v>681</v>
      </c>
      <c r="B496" s="355" t="e">
        <f>+$B$491</f>
        <v>#DIV/0!</v>
      </c>
      <c r="C496" s="355" t="e">
        <f>+B496</f>
        <v>#DIV/0!</v>
      </c>
      <c r="D496" s="355" t="e">
        <f t="shared" ref="D496:H496" si="291">+C496</f>
        <v>#DIV/0!</v>
      </c>
      <c r="E496" s="355" t="e">
        <f t="shared" si="291"/>
        <v>#DIV/0!</v>
      </c>
      <c r="F496" s="355" t="e">
        <f t="shared" si="291"/>
        <v>#DIV/0!</v>
      </c>
      <c r="G496" s="355" t="e">
        <f t="shared" si="291"/>
        <v>#DIV/0!</v>
      </c>
      <c r="H496" s="355" t="e">
        <f t="shared" si="291"/>
        <v>#DIV/0!</v>
      </c>
    </row>
    <row r="497" spans="1:11" hidden="1" x14ac:dyDescent="0.2">
      <c r="A497" s="356" t="s">
        <v>291</v>
      </c>
      <c r="B497" s="357">
        <f>+'Input Sheet'!C149</f>
        <v>0.55000000000000004</v>
      </c>
      <c r="C497" s="357">
        <f>+'Input Sheet'!D149</f>
        <v>0.60000000000000009</v>
      </c>
      <c r="D497" s="357">
        <f>+'Input Sheet'!E149</f>
        <v>0.65000000000000013</v>
      </c>
      <c r="E497" s="357">
        <f>+'Input Sheet'!F149</f>
        <v>0.70000000000000018</v>
      </c>
      <c r="F497" s="357">
        <f>+'Input Sheet'!G149</f>
        <v>0.75000000000000022</v>
      </c>
      <c r="G497" s="357">
        <f>+'Input Sheet'!H149</f>
        <v>0.80000000000000027</v>
      </c>
      <c r="H497" s="357">
        <f>+'Input Sheet'!I149</f>
        <v>0.85000000000000031</v>
      </c>
    </row>
    <row r="498" spans="1:11" hidden="1" x14ac:dyDescent="0.2">
      <c r="A498" s="356" t="s">
        <v>682</v>
      </c>
      <c r="B498" s="358" t="e">
        <f t="shared" ref="B498:H498" si="292">+$B$489*B497</f>
        <v>#DIV/0!</v>
      </c>
      <c r="C498" s="358" t="e">
        <f t="shared" si="292"/>
        <v>#DIV/0!</v>
      </c>
      <c r="D498" s="436" t="e">
        <f t="shared" si="292"/>
        <v>#DIV/0!</v>
      </c>
      <c r="E498" s="436" t="e">
        <f t="shared" si="292"/>
        <v>#DIV/0!</v>
      </c>
      <c r="F498" s="436" t="e">
        <f t="shared" si="292"/>
        <v>#DIV/0!</v>
      </c>
      <c r="G498" s="436" t="e">
        <f t="shared" si="292"/>
        <v>#DIV/0!</v>
      </c>
      <c r="H498" s="436" t="e">
        <f t="shared" si="292"/>
        <v>#DIV/0!</v>
      </c>
    </row>
    <row r="499" spans="1:11" hidden="1" x14ac:dyDescent="0.2">
      <c r="A499" s="356" t="s">
        <v>683</v>
      </c>
      <c r="B499" s="358">
        <f t="shared" ref="B499:H499" si="293">+B40+B45+B50+B55+B60</f>
        <v>81</v>
      </c>
      <c r="C499" s="358">
        <f t="shared" si="293"/>
        <v>90</v>
      </c>
      <c r="D499" s="436">
        <f t="shared" si="293"/>
        <v>99</v>
      </c>
      <c r="E499" s="436">
        <f t="shared" si="293"/>
        <v>109</v>
      </c>
      <c r="F499" s="436">
        <f t="shared" si="293"/>
        <v>117</v>
      </c>
      <c r="G499" s="436">
        <f t="shared" si="293"/>
        <v>126</v>
      </c>
      <c r="H499" s="436">
        <f t="shared" si="293"/>
        <v>136</v>
      </c>
    </row>
    <row r="500" spans="1:11" hidden="1" x14ac:dyDescent="0.2">
      <c r="A500" s="356" t="s">
        <v>684</v>
      </c>
      <c r="B500" s="358" t="e">
        <f t="shared" ref="B500:H500" si="294">+B498-B499</f>
        <v>#DIV/0!</v>
      </c>
      <c r="C500" s="358" t="e">
        <f t="shared" si="294"/>
        <v>#DIV/0!</v>
      </c>
      <c r="D500" s="436" t="e">
        <f t="shared" si="294"/>
        <v>#DIV/0!</v>
      </c>
      <c r="E500" s="436" t="e">
        <f t="shared" si="294"/>
        <v>#DIV/0!</v>
      </c>
      <c r="F500" s="436" t="e">
        <f t="shared" si="294"/>
        <v>#DIV/0!</v>
      </c>
      <c r="G500" s="436" t="e">
        <f t="shared" si="294"/>
        <v>#DIV/0!</v>
      </c>
      <c r="H500" s="436" t="e">
        <f t="shared" si="294"/>
        <v>#DIV/0!</v>
      </c>
    </row>
    <row r="501" spans="1:11" hidden="1" x14ac:dyDescent="0.2">
      <c r="A501" s="356"/>
      <c r="B501" s="357"/>
      <c r="C501" s="357"/>
      <c r="D501" s="435"/>
      <c r="E501" s="435"/>
      <c r="F501" s="435"/>
      <c r="G501" s="435"/>
      <c r="H501" s="435"/>
    </row>
    <row r="502" spans="1:11" hidden="1" x14ac:dyDescent="0.2">
      <c r="A502" s="359" t="s">
        <v>685</v>
      </c>
      <c r="B502" s="360" t="e">
        <f t="shared" ref="B502:H502" si="295">+B496*B500/$B$489</f>
        <v>#DIV/0!</v>
      </c>
      <c r="C502" s="360" t="e">
        <f t="shared" si="295"/>
        <v>#DIV/0!</v>
      </c>
      <c r="D502" s="360" t="e">
        <f t="shared" si="295"/>
        <v>#DIV/0!</v>
      </c>
      <c r="E502" s="360" t="e">
        <f t="shared" si="295"/>
        <v>#DIV/0!</v>
      </c>
      <c r="F502" s="360" t="e">
        <f t="shared" si="295"/>
        <v>#DIV/0!</v>
      </c>
      <c r="G502" s="360" t="e">
        <f t="shared" si="295"/>
        <v>#DIV/0!</v>
      </c>
      <c r="H502" s="360" t="e">
        <f t="shared" si="295"/>
        <v>#DIV/0!</v>
      </c>
    </row>
    <row r="503" spans="1:11" hidden="1" x14ac:dyDescent="0.2">
      <c r="A503" s="356"/>
      <c r="B503" s="360"/>
      <c r="C503" s="360"/>
      <c r="D503" s="420"/>
      <c r="E503" s="420"/>
      <c r="F503" s="420"/>
      <c r="G503" s="420"/>
      <c r="H503" s="420"/>
    </row>
    <row r="504" spans="1:11" hidden="1" x14ac:dyDescent="0.2">
      <c r="A504" s="354" t="s">
        <v>8</v>
      </c>
      <c r="B504" s="331" t="e">
        <f t="shared" ref="B504:H504" si="296">SUM(B502:B503)</f>
        <v>#DIV/0!</v>
      </c>
      <c r="C504" s="331" t="e">
        <f t="shared" si="296"/>
        <v>#DIV/0!</v>
      </c>
      <c r="D504" s="421" t="e">
        <f t="shared" si="296"/>
        <v>#DIV/0!</v>
      </c>
      <c r="E504" s="421" t="e">
        <f t="shared" si="296"/>
        <v>#DIV/0!</v>
      </c>
      <c r="F504" s="421" t="e">
        <f t="shared" si="296"/>
        <v>#DIV/0!</v>
      </c>
      <c r="G504" s="421" t="e">
        <f t="shared" si="296"/>
        <v>#DIV/0!</v>
      </c>
      <c r="H504" s="421" t="e">
        <f t="shared" si="296"/>
        <v>#DIV/0!</v>
      </c>
    </row>
    <row r="508" spans="1:11" ht="29.25" x14ac:dyDescent="0.4">
      <c r="A508" s="544" t="s">
        <v>741</v>
      </c>
    </row>
    <row r="509" spans="1:11" x14ac:dyDescent="0.2">
      <c r="A509" s="545" t="s">
        <v>0</v>
      </c>
      <c r="B509" s="546" t="s">
        <v>2</v>
      </c>
      <c r="C509" s="546" t="s">
        <v>3</v>
      </c>
      <c r="D509" s="547" t="s">
        <v>4</v>
      </c>
      <c r="E509" s="547" t="s">
        <v>5</v>
      </c>
      <c r="F509" s="547" t="s">
        <v>6</v>
      </c>
      <c r="G509" s="547" t="s">
        <v>163</v>
      </c>
      <c r="H509" s="547" t="s">
        <v>162</v>
      </c>
      <c r="I509" s="548"/>
      <c r="J509" s="437">
        <v>2</v>
      </c>
      <c r="K509" s="403"/>
    </row>
    <row r="510" spans="1:11" x14ac:dyDescent="0.2">
      <c r="A510" s="315"/>
      <c r="B510" s="326"/>
      <c r="C510" s="326"/>
      <c r="D510" s="418"/>
      <c r="E510" s="418"/>
      <c r="F510" s="418"/>
      <c r="G510" s="418"/>
      <c r="H510" s="418"/>
      <c r="I510" s="438"/>
      <c r="J510" s="438"/>
      <c r="K510" s="254"/>
    </row>
    <row r="511" spans="1:11" x14ac:dyDescent="0.2">
      <c r="A511" s="332" t="str">
        <f>+A543</f>
        <v>Flax</v>
      </c>
      <c r="B511" s="333">
        <f t="shared" ref="B511:H511" si="297">+B545</f>
        <v>55</v>
      </c>
      <c r="C511" s="333">
        <f t="shared" si="297"/>
        <v>60</v>
      </c>
      <c r="D511" s="389">
        <f t="shared" si="297"/>
        <v>66</v>
      </c>
      <c r="E511" s="389">
        <f t="shared" si="297"/>
        <v>72</v>
      </c>
      <c r="F511" s="389">
        <f t="shared" si="297"/>
        <v>78</v>
      </c>
      <c r="G511" s="389">
        <f t="shared" si="297"/>
        <v>84</v>
      </c>
      <c r="H511" s="389">
        <f t="shared" si="297"/>
        <v>90</v>
      </c>
      <c r="I511" s="439"/>
      <c r="J511" s="439"/>
      <c r="K511" s="404"/>
    </row>
    <row r="512" spans="1:11" x14ac:dyDescent="0.2">
      <c r="A512" s="332" t="s">
        <v>738</v>
      </c>
      <c r="B512" s="339">
        <f t="shared" ref="B512:H512" si="298">+B550</f>
        <v>66000</v>
      </c>
      <c r="C512" s="339">
        <f t="shared" si="298"/>
        <v>69300</v>
      </c>
      <c r="D512" s="428">
        <f t="shared" si="298"/>
        <v>72770</v>
      </c>
      <c r="E512" s="428">
        <f t="shared" si="298"/>
        <v>76410</v>
      </c>
      <c r="F512" s="428">
        <f t="shared" si="298"/>
        <v>80230</v>
      </c>
      <c r="G512" s="428">
        <f t="shared" si="298"/>
        <v>84240</v>
      </c>
      <c r="H512" s="428">
        <f t="shared" si="298"/>
        <v>88450</v>
      </c>
      <c r="I512" s="440"/>
      <c r="J512" s="440"/>
      <c r="K512" s="405"/>
    </row>
    <row r="513" spans="1:11" x14ac:dyDescent="0.2">
      <c r="A513" s="332"/>
      <c r="B513" s="339"/>
      <c r="C513" s="339"/>
      <c r="D513" s="428"/>
      <c r="E513" s="428"/>
      <c r="F513" s="428"/>
      <c r="G513" s="428"/>
      <c r="H513" s="428"/>
      <c r="I513" s="440"/>
      <c r="J513" s="440"/>
      <c r="K513" s="405"/>
    </row>
    <row r="514" spans="1:11" x14ac:dyDescent="0.2">
      <c r="A514" s="332" t="s">
        <v>739</v>
      </c>
      <c r="B514" s="339">
        <f t="shared" ref="B514:H514" si="299">+ROUND(B511*B512/100000,2)</f>
        <v>36.299999999999997</v>
      </c>
      <c r="C514" s="339">
        <f t="shared" si="299"/>
        <v>41.58</v>
      </c>
      <c r="D514" s="428">
        <f t="shared" si="299"/>
        <v>48.03</v>
      </c>
      <c r="E514" s="428">
        <f t="shared" si="299"/>
        <v>55.02</v>
      </c>
      <c r="F514" s="428">
        <f t="shared" si="299"/>
        <v>62.58</v>
      </c>
      <c r="G514" s="428">
        <f t="shared" si="299"/>
        <v>70.760000000000005</v>
      </c>
      <c r="H514" s="428">
        <f t="shared" si="299"/>
        <v>79.61</v>
      </c>
      <c r="I514" s="440"/>
      <c r="J514" s="440"/>
      <c r="K514" s="405"/>
    </row>
    <row r="515" spans="1:11" x14ac:dyDescent="0.2">
      <c r="A515" s="332"/>
      <c r="B515" s="339"/>
      <c r="C515" s="339"/>
      <c r="D515" s="428"/>
      <c r="E515" s="428"/>
      <c r="F515" s="428"/>
      <c r="G515" s="428"/>
      <c r="H515" s="428"/>
      <c r="I515" s="440"/>
      <c r="J515" s="440"/>
      <c r="K515" s="405"/>
    </row>
    <row r="516" spans="1:11" x14ac:dyDescent="0.2">
      <c r="A516" s="332" t="str">
        <f>+A556</f>
        <v>Safflower</v>
      </c>
      <c r="B516" s="333">
        <f t="shared" ref="B516:H516" si="300">+B558</f>
        <v>28</v>
      </c>
      <c r="C516" s="333">
        <f t="shared" si="300"/>
        <v>30</v>
      </c>
      <c r="D516" s="389">
        <f t="shared" si="300"/>
        <v>33</v>
      </c>
      <c r="E516" s="389">
        <f t="shared" si="300"/>
        <v>36</v>
      </c>
      <c r="F516" s="389">
        <f t="shared" si="300"/>
        <v>39</v>
      </c>
      <c r="G516" s="389">
        <f t="shared" si="300"/>
        <v>42</v>
      </c>
      <c r="H516" s="389">
        <f t="shared" si="300"/>
        <v>45</v>
      </c>
      <c r="I516" s="439"/>
      <c r="J516" s="439"/>
      <c r="K516" s="406"/>
    </row>
    <row r="517" spans="1:11" x14ac:dyDescent="0.2">
      <c r="A517" s="332" t="s">
        <v>738</v>
      </c>
      <c r="B517" s="339">
        <f t="shared" ref="B517:H517" si="301">+B563</f>
        <v>76000</v>
      </c>
      <c r="C517" s="339">
        <f t="shared" si="301"/>
        <v>79800</v>
      </c>
      <c r="D517" s="428">
        <f t="shared" si="301"/>
        <v>83790</v>
      </c>
      <c r="E517" s="428">
        <f t="shared" si="301"/>
        <v>87980</v>
      </c>
      <c r="F517" s="428">
        <f t="shared" si="301"/>
        <v>92380</v>
      </c>
      <c r="G517" s="428">
        <f t="shared" si="301"/>
        <v>97000</v>
      </c>
      <c r="H517" s="428">
        <f t="shared" si="301"/>
        <v>101850</v>
      </c>
      <c r="I517" s="440"/>
      <c r="J517" s="440"/>
      <c r="K517" s="405"/>
    </row>
    <row r="518" spans="1:11" x14ac:dyDescent="0.2">
      <c r="A518" s="332"/>
      <c r="B518" s="339"/>
      <c r="C518" s="339"/>
      <c r="D518" s="428"/>
      <c r="E518" s="428"/>
      <c r="F518" s="428"/>
      <c r="G518" s="428"/>
      <c r="H518" s="428"/>
      <c r="I518" s="440"/>
      <c r="J518" s="440"/>
      <c r="K518" s="405"/>
    </row>
    <row r="519" spans="1:11" x14ac:dyDescent="0.2">
      <c r="A519" s="332" t="s">
        <v>739</v>
      </c>
      <c r="B519" s="339">
        <f t="shared" ref="B519:H519" si="302">+ROUND(B516*B517/100000,2)</f>
        <v>21.28</v>
      </c>
      <c r="C519" s="339">
        <f t="shared" si="302"/>
        <v>23.94</v>
      </c>
      <c r="D519" s="428">
        <f t="shared" si="302"/>
        <v>27.65</v>
      </c>
      <c r="E519" s="428">
        <f t="shared" si="302"/>
        <v>31.67</v>
      </c>
      <c r="F519" s="428">
        <f t="shared" si="302"/>
        <v>36.03</v>
      </c>
      <c r="G519" s="428">
        <f t="shared" si="302"/>
        <v>40.74</v>
      </c>
      <c r="H519" s="428">
        <f t="shared" si="302"/>
        <v>45.83</v>
      </c>
      <c r="I519" s="440"/>
      <c r="J519" s="440"/>
      <c r="K519" s="405"/>
    </row>
    <row r="520" spans="1:11" x14ac:dyDescent="0.2">
      <c r="A520" s="332"/>
      <c r="B520" s="339"/>
      <c r="C520" s="339"/>
      <c r="D520" s="428"/>
      <c r="E520" s="428"/>
      <c r="F520" s="428"/>
      <c r="G520" s="428"/>
      <c r="H520" s="428"/>
      <c r="I520" s="440"/>
      <c r="J520" s="440"/>
      <c r="K520" s="405"/>
    </row>
    <row r="521" spans="1:11" x14ac:dyDescent="0.2">
      <c r="A521" s="332" t="str">
        <f>+A568</f>
        <v>Mustered</v>
      </c>
      <c r="B521" s="333">
        <f t="shared" ref="B521:H521" si="303">+B570</f>
        <v>193</v>
      </c>
      <c r="C521" s="333">
        <f t="shared" si="303"/>
        <v>210</v>
      </c>
      <c r="D521" s="389">
        <f t="shared" si="303"/>
        <v>231</v>
      </c>
      <c r="E521" s="389">
        <f t="shared" si="303"/>
        <v>252</v>
      </c>
      <c r="F521" s="389">
        <f t="shared" si="303"/>
        <v>273</v>
      </c>
      <c r="G521" s="389">
        <f t="shared" si="303"/>
        <v>294</v>
      </c>
      <c r="H521" s="389">
        <f t="shared" si="303"/>
        <v>315</v>
      </c>
      <c r="I521" s="439"/>
      <c r="J521" s="439"/>
      <c r="K521" s="406"/>
    </row>
    <row r="522" spans="1:11" x14ac:dyDescent="0.2">
      <c r="A522" s="332" t="s">
        <v>738</v>
      </c>
      <c r="B522" s="339">
        <f t="shared" ref="B522:H522" si="304">+B575</f>
        <v>60000</v>
      </c>
      <c r="C522" s="339">
        <f t="shared" si="304"/>
        <v>63000</v>
      </c>
      <c r="D522" s="428">
        <f t="shared" si="304"/>
        <v>66150</v>
      </c>
      <c r="E522" s="428">
        <f t="shared" si="304"/>
        <v>69460</v>
      </c>
      <c r="F522" s="428">
        <f t="shared" si="304"/>
        <v>72930</v>
      </c>
      <c r="G522" s="428">
        <f t="shared" si="304"/>
        <v>76580</v>
      </c>
      <c r="H522" s="428">
        <f t="shared" si="304"/>
        <v>80410</v>
      </c>
      <c r="I522" s="440"/>
      <c r="J522" s="440"/>
      <c r="K522" s="405"/>
    </row>
    <row r="523" spans="1:11" x14ac:dyDescent="0.2">
      <c r="A523" s="332"/>
      <c r="B523" s="339"/>
      <c r="C523" s="339"/>
      <c r="D523" s="428"/>
      <c r="E523" s="428"/>
      <c r="F523" s="428"/>
      <c r="G523" s="428"/>
      <c r="H523" s="428"/>
      <c r="I523" s="440"/>
      <c r="J523" s="440"/>
      <c r="K523" s="405"/>
    </row>
    <row r="524" spans="1:11" x14ac:dyDescent="0.2">
      <c r="A524" s="332" t="s">
        <v>739</v>
      </c>
      <c r="B524" s="339">
        <f t="shared" ref="B524:H524" si="305">+ROUND(B521*B522/100000,2)</f>
        <v>115.8</v>
      </c>
      <c r="C524" s="339">
        <f t="shared" si="305"/>
        <v>132.30000000000001</v>
      </c>
      <c r="D524" s="428">
        <f t="shared" si="305"/>
        <v>152.81</v>
      </c>
      <c r="E524" s="428">
        <f t="shared" si="305"/>
        <v>175.04</v>
      </c>
      <c r="F524" s="428">
        <f t="shared" si="305"/>
        <v>199.1</v>
      </c>
      <c r="G524" s="428">
        <f t="shared" si="305"/>
        <v>225.15</v>
      </c>
      <c r="H524" s="428">
        <f t="shared" si="305"/>
        <v>253.29</v>
      </c>
      <c r="I524" s="440"/>
      <c r="J524" s="440"/>
      <c r="K524" s="405"/>
    </row>
    <row r="525" spans="1:11" x14ac:dyDescent="0.2">
      <c r="A525" s="332"/>
      <c r="B525" s="339"/>
      <c r="C525" s="339"/>
      <c r="D525" s="428"/>
      <c r="E525" s="428"/>
      <c r="F525" s="428"/>
      <c r="G525" s="428"/>
      <c r="H525" s="428"/>
      <c r="I525" s="440"/>
      <c r="J525" s="440"/>
      <c r="K525" s="405"/>
    </row>
    <row r="526" spans="1:11" hidden="1" x14ac:dyDescent="0.2">
      <c r="A526" s="332" t="str">
        <f>+A580</f>
        <v>Tomato</v>
      </c>
      <c r="B526" s="333">
        <f t="shared" ref="B526:H526" si="306">+B582</f>
        <v>0</v>
      </c>
      <c r="C526" s="333">
        <f t="shared" si="306"/>
        <v>0</v>
      </c>
      <c r="D526" s="389">
        <f t="shared" si="306"/>
        <v>0</v>
      </c>
      <c r="E526" s="389">
        <f t="shared" si="306"/>
        <v>0</v>
      </c>
      <c r="F526" s="389">
        <f t="shared" si="306"/>
        <v>0</v>
      </c>
      <c r="G526" s="389">
        <f t="shared" si="306"/>
        <v>0</v>
      </c>
      <c r="H526" s="389">
        <f t="shared" si="306"/>
        <v>0</v>
      </c>
      <c r="I526" s="439"/>
      <c r="J526" s="439"/>
      <c r="K526" s="406"/>
    </row>
    <row r="527" spans="1:11" hidden="1" x14ac:dyDescent="0.2">
      <c r="A527" s="332" t="s">
        <v>738</v>
      </c>
      <c r="B527" s="339">
        <f t="shared" ref="B527:H527" si="307">+B587</f>
        <v>0</v>
      </c>
      <c r="C527" s="339">
        <f t="shared" si="307"/>
        <v>0</v>
      </c>
      <c r="D527" s="428">
        <f t="shared" si="307"/>
        <v>0</v>
      </c>
      <c r="E527" s="428">
        <f t="shared" si="307"/>
        <v>0</v>
      </c>
      <c r="F527" s="428">
        <f t="shared" si="307"/>
        <v>0</v>
      </c>
      <c r="G527" s="428">
        <f t="shared" si="307"/>
        <v>0</v>
      </c>
      <c r="H527" s="428">
        <f t="shared" si="307"/>
        <v>0</v>
      </c>
      <c r="I527" s="440"/>
      <c r="J527" s="440"/>
      <c r="K527" s="405"/>
    </row>
    <row r="528" spans="1:11" hidden="1" x14ac:dyDescent="0.2">
      <c r="A528" s="332"/>
      <c r="B528" s="339"/>
      <c r="C528" s="339"/>
      <c r="D528" s="428"/>
      <c r="E528" s="428"/>
      <c r="F528" s="428"/>
      <c r="G528" s="428"/>
      <c r="H528" s="428"/>
      <c r="I528" s="440"/>
      <c r="J528" s="440"/>
      <c r="K528" s="405"/>
    </row>
    <row r="529" spans="1:11" hidden="1" x14ac:dyDescent="0.2">
      <c r="A529" s="332" t="s">
        <v>739</v>
      </c>
      <c r="B529" s="339">
        <f t="shared" ref="B529:H529" si="308">+ROUND(B526*B527/100000,2)</f>
        <v>0</v>
      </c>
      <c r="C529" s="339">
        <f t="shared" si="308"/>
        <v>0</v>
      </c>
      <c r="D529" s="428">
        <f t="shared" si="308"/>
        <v>0</v>
      </c>
      <c r="E529" s="428">
        <f t="shared" si="308"/>
        <v>0</v>
      </c>
      <c r="F529" s="428">
        <f t="shared" si="308"/>
        <v>0</v>
      </c>
      <c r="G529" s="428">
        <f t="shared" si="308"/>
        <v>0</v>
      </c>
      <c r="H529" s="428">
        <f t="shared" si="308"/>
        <v>0</v>
      </c>
      <c r="I529" s="440"/>
      <c r="J529" s="440"/>
      <c r="K529" s="405"/>
    </row>
    <row r="530" spans="1:11" hidden="1" x14ac:dyDescent="0.2">
      <c r="A530" s="332"/>
      <c r="B530" s="339"/>
      <c r="C530" s="339"/>
      <c r="D530" s="428"/>
      <c r="E530" s="428"/>
      <c r="F530" s="428"/>
      <c r="G530" s="428"/>
      <c r="H530" s="428"/>
      <c r="I530" s="440"/>
      <c r="J530" s="440"/>
      <c r="K530" s="405"/>
    </row>
    <row r="531" spans="1:11" hidden="1" x14ac:dyDescent="0.2">
      <c r="A531" s="332" t="str">
        <f>+A592</f>
        <v>Chilli</v>
      </c>
      <c r="B531" s="333">
        <f t="shared" ref="B531:H531" si="309">+B594</f>
        <v>0</v>
      </c>
      <c r="C531" s="333">
        <f t="shared" si="309"/>
        <v>0</v>
      </c>
      <c r="D531" s="389">
        <f t="shared" si="309"/>
        <v>0</v>
      </c>
      <c r="E531" s="389">
        <f t="shared" si="309"/>
        <v>0</v>
      </c>
      <c r="F531" s="389">
        <f t="shared" si="309"/>
        <v>0</v>
      </c>
      <c r="G531" s="389">
        <f t="shared" si="309"/>
        <v>0</v>
      </c>
      <c r="H531" s="389">
        <f t="shared" si="309"/>
        <v>0</v>
      </c>
      <c r="I531" s="439"/>
      <c r="J531" s="439"/>
      <c r="K531" s="406"/>
    </row>
    <row r="532" spans="1:11" hidden="1" x14ac:dyDescent="0.2">
      <c r="A532" s="332" t="s">
        <v>738</v>
      </c>
      <c r="B532" s="339">
        <f t="shared" ref="B532:H532" si="310">+B599</f>
        <v>0</v>
      </c>
      <c r="C532" s="339">
        <f t="shared" si="310"/>
        <v>0</v>
      </c>
      <c r="D532" s="428">
        <f t="shared" si="310"/>
        <v>0</v>
      </c>
      <c r="E532" s="428">
        <f t="shared" si="310"/>
        <v>0</v>
      </c>
      <c r="F532" s="428">
        <f t="shared" si="310"/>
        <v>0</v>
      </c>
      <c r="G532" s="428">
        <f t="shared" si="310"/>
        <v>0</v>
      </c>
      <c r="H532" s="428">
        <f t="shared" si="310"/>
        <v>0</v>
      </c>
      <c r="I532" s="440"/>
      <c r="J532" s="440"/>
      <c r="K532" s="405"/>
    </row>
    <row r="533" spans="1:11" hidden="1" x14ac:dyDescent="0.2">
      <c r="A533" s="332"/>
      <c r="B533" s="339"/>
      <c r="C533" s="339"/>
      <c r="D533" s="428"/>
      <c r="E533" s="428"/>
      <c r="F533" s="428"/>
      <c r="G533" s="428"/>
      <c r="H533" s="428"/>
      <c r="I533" s="440"/>
      <c r="J533" s="440"/>
      <c r="K533" s="405"/>
    </row>
    <row r="534" spans="1:11" hidden="1" x14ac:dyDescent="0.2">
      <c r="A534" s="332" t="s">
        <v>739</v>
      </c>
      <c r="B534" s="339">
        <f t="shared" ref="B534:H534" si="311">+ROUND(B531*B532/100000,2)</f>
        <v>0</v>
      </c>
      <c r="C534" s="339">
        <f t="shared" si="311"/>
        <v>0</v>
      </c>
      <c r="D534" s="428">
        <f t="shared" si="311"/>
        <v>0</v>
      </c>
      <c r="E534" s="428">
        <f t="shared" si="311"/>
        <v>0</v>
      </c>
      <c r="F534" s="428">
        <f t="shared" si="311"/>
        <v>0</v>
      </c>
      <c r="G534" s="428">
        <f t="shared" si="311"/>
        <v>0</v>
      </c>
      <c r="H534" s="428">
        <f t="shared" si="311"/>
        <v>0</v>
      </c>
      <c r="I534" s="440"/>
      <c r="J534" s="440"/>
      <c r="K534" s="405"/>
    </row>
    <row r="535" spans="1:11" x14ac:dyDescent="0.2">
      <c r="A535" s="332"/>
      <c r="B535" s="339"/>
      <c r="C535" s="339"/>
      <c r="D535" s="428"/>
      <c r="E535" s="428"/>
      <c r="F535" s="428"/>
      <c r="G535" s="426"/>
      <c r="H535" s="426"/>
      <c r="I535" s="438"/>
      <c r="J535" s="438"/>
      <c r="K535" s="254"/>
    </row>
    <row r="536" spans="1:11" x14ac:dyDescent="0.2">
      <c r="A536" s="315" t="s">
        <v>740</v>
      </c>
      <c r="B536" s="340">
        <f t="shared" ref="B536:H536" si="312">+B514+B519+B524+B529+B534</f>
        <v>173.38</v>
      </c>
      <c r="C536" s="340">
        <f t="shared" si="312"/>
        <v>197.82</v>
      </c>
      <c r="D536" s="429">
        <f t="shared" si="312"/>
        <v>228.49</v>
      </c>
      <c r="E536" s="429">
        <f t="shared" si="312"/>
        <v>261.73</v>
      </c>
      <c r="F536" s="429">
        <f t="shared" si="312"/>
        <v>297.70999999999998</v>
      </c>
      <c r="G536" s="429">
        <f t="shared" si="312"/>
        <v>336.65</v>
      </c>
      <c r="H536" s="429">
        <f t="shared" si="312"/>
        <v>378.73</v>
      </c>
      <c r="I536" s="441"/>
      <c r="J536" s="441"/>
      <c r="K536" s="407"/>
    </row>
    <row r="540" spans="1:11" ht="25.5" x14ac:dyDescent="0.35">
      <c r="A540" s="549" t="s">
        <v>750</v>
      </c>
    </row>
    <row r="541" spans="1:11" x14ac:dyDescent="0.2">
      <c r="A541" s="545" t="s">
        <v>0</v>
      </c>
      <c r="B541" s="546" t="s">
        <v>2</v>
      </c>
      <c r="C541" s="546" t="s">
        <v>3</v>
      </c>
      <c r="D541" s="547" t="s">
        <v>4</v>
      </c>
      <c r="E541" s="547" t="s">
        <v>5</v>
      </c>
      <c r="F541" s="547" t="s">
        <v>6</v>
      </c>
      <c r="G541" s="547" t="s">
        <v>163</v>
      </c>
      <c r="H541" s="547" t="s">
        <v>162</v>
      </c>
      <c r="I541" s="442"/>
      <c r="J541" s="637">
        <v>1</v>
      </c>
      <c r="K541" s="410"/>
    </row>
    <row r="542" spans="1:11" x14ac:dyDescent="0.2">
      <c r="A542" s="315" t="s">
        <v>742</v>
      </c>
      <c r="B542" s="332"/>
      <c r="C542" s="332"/>
      <c r="D542" s="389"/>
      <c r="E542" s="389"/>
      <c r="F542" s="389"/>
      <c r="G542" s="344"/>
      <c r="H542" s="344"/>
      <c r="I542" s="443"/>
      <c r="J542" s="443"/>
      <c r="K542" s="411"/>
    </row>
    <row r="543" spans="1:11" x14ac:dyDescent="0.2">
      <c r="A543" s="315" t="str">
        <f>+'Input Sheet'!B68</f>
        <v>Flax</v>
      </c>
      <c r="B543" s="332"/>
      <c r="C543" s="332"/>
      <c r="D543" s="389"/>
      <c r="E543" s="389"/>
      <c r="F543" s="389"/>
      <c r="G543" s="344"/>
      <c r="H543" s="344"/>
      <c r="I543" s="443"/>
      <c r="J543" s="443"/>
      <c r="K543" s="411"/>
    </row>
    <row r="544" spans="1:11" x14ac:dyDescent="0.2">
      <c r="A544" s="332" t="s">
        <v>354</v>
      </c>
      <c r="B544" s="332">
        <v>0</v>
      </c>
      <c r="C544" s="332">
        <f t="shared" ref="C544:H544" si="313">B547</f>
        <v>1</v>
      </c>
      <c r="D544" s="389">
        <f t="shared" si="313"/>
        <v>1</v>
      </c>
      <c r="E544" s="389">
        <f t="shared" si="313"/>
        <v>1</v>
      </c>
      <c r="F544" s="389">
        <f t="shared" si="313"/>
        <v>1</v>
      </c>
      <c r="G544" s="389">
        <f t="shared" si="313"/>
        <v>1</v>
      </c>
      <c r="H544" s="389">
        <f t="shared" si="313"/>
        <v>1</v>
      </c>
      <c r="I544" s="444"/>
      <c r="J544" s="444"/>
      <c r="K544" s="412"/>
    </row>
    <row r="545" spans="1:11" x14ac:dyDescent="0.2">
      <c r="A545" s="332" t="s">
        <v>743</v>
      </c>
      <c r="B545" s="333">
        <f t="shared" ref="B545:H545" si="314">SUM(B546:B547)-B544</f>
        <v>55</v>
      </c>
      <c r="C545" s="333">
        <f t="shared" si="314"/>
        <v>60</v>
      </c>
      <c r="D545" s="389">
        <f t="shared" si="314"/>
        <v>66</v>
      </c>
      <c r="E545" s="389">
        <f t="shared" si="314"/>
        <v>72</v>
      </c>
      <c r="F545" s="389">
        <f t="shared" si="314"/>
        <v>78</v>
      </c>
      <c r="G545" s="389">
        <f t="shared" si="314"/>
        <v>84</v>
      </c>
      <c r="H545" s="389">
        <f t="shared" si="314"/>
        <v>90</v>
      </c>
      <c r="I545" s="444"/>
      <c r="J545" s="444"/>
      <c r="K545" s="413"/>
    </row>
    <row r="546" spans="1:11" x14ac:dyDescent="0.2">
      <c r="A546" s="332" t="s">
        <v>744</v>
      </c>
      <c r="B546" s="333">
        <f t="shared" ref="B546:H546" si="315">+B32</f>
        <v>54</v>
      </c>
      <c r="C546" s="333">
        <f t="shared" si="315"/>
        <v>60</v>
      </c>
      <c r="D546" s="389">
        <f t="shared" si="315"/>
        <v>66</v>
      </c>
      <c r="E546" s="389">
        <f t="shared" si="315"/>
        <v>72</v>
      </c>
      <c r="F546" s="389">
        <f t="shared" si="315"/>
        <v>78</v>
      </c>
      <c r="G546" s="389">
        <f t="shared" si="315"/>
        <v>84</v>
      </c>
      <c r="H546" s="389">
        <f t="shared" si="315"/>
        <v>90</v>
      </c>
      <c r="I546" s="444"/>
      <c r="J546" s="444"/>
      <c r="K546" s="413"/>
    </row>
    <row r="547" spans="1:11" x14ac:dyDescent="0.2">
      <c r="A547" s="332" t="s">
        <v>745</v>
      </c>
      <c r="B547" s="332">
        <f t="shared" ref="B547:H547" si="316">ROUND(B546/B67,0)</f>
        <v>1</v>
      </c>
      <c r="C547" s="332">
        <f t="shared" si="316"/>
        <v>1</v>
      </c>
      <c r="D547" s="389">
        <f t="shared" si="316"/>
        <v>1</v>
      </c>
      <c r="E547" s="389">
        <f t="shared" si="316"/>
        <v>1</v>
      </c>
      <c r="F547" s="389">
        <f t="shared" si="316"/>
        <v>1</v>
      </c>
      <c r="G547" s="389">
        <f t="shared" si="316"/>
        <v>1</v>
      </c>
      <c r="H547" s="389">
        <f t="shared" si="316"/>
        <v>1</v>
      </c>
      <c r="I547" s="444"/>
      <c r="J547" s="444"/>
      <c r="K547" s="412"/>
    </row>
    <row r="548" spans="1:11" x14ac:dyDescent="0.2">
      <c r="A548" s="316"/>
      <c r="B548" s="316"/>
      <c r="C548" s="316"/>
      <c r="D548" s="344"/>
      <c r="E548" s="344"/>
      <c r="F548" s="344"/>
      <c r="G548" s="344"/>
      <c r="H548" s="344"/>
      <c r="I548" s="443"/>
      <c r="J548" s="443"/>
      <c r="K548" s="411"/>
    </row>
    <row r="549" spans="1:11" x14ac:dyDescent="0.2">
      <c r="A549" s="315" t="s">
        <v>746</v>
      </c>
      <c r="B549" s="316"/>
      <c r="C549" s="316"/>
      <c r="D549" s="344"/>
      <c r="E549" s="344"/>
      <c r="F549" s="344"/>
      <c r="G549" s="344"/>
      <c r="H549" s="344"/>
      <c r="I549" s="443"/>
      <c r="J549" s="443"/>
      <c r="K549" s="411"/>
    </row>
    <row r="550" spans="1:11" x14ac:dyDescent="0.2">
      <c r="A550" s="315" t="s">
        <v>747</v>
      </c>
      <c r="B550" s="589">
        <f>+'Input Sheet'!C68</f>
        <v>66000</v>
      </c>
      <c r="C550" s="589">
        <f>+'Input Sheet'!D68</f>
        <v>69300</v>
      </c>
      <c r="D550" s="589">
        <f>+'Input Sheet'!E68</f>
        <v>72770</v>
      </c>
      <c r="E550" s="589">
        <f>+'Input Sheet'!F68</f>
        <v>76410</v>
      </c>
      <c r="F550" s="589">
        <f>+'Input Sheet'!G68</f>
        <v>80230</v>
      </c>
      <c r="G550" s="589">
        <f>+'Input Sheet'!H68</f>
        <v>84240</v>
      </c>
      <c r="H550" s="589">
        <f>+'Input Sheet'!I68</f>
        <v>88450</v>
      </c>
      <c r="I550" s="443"/>
      <c r="J550" s="443"/>
      <c r="K550" s="414"/>
    </row>
    <row r="551" spans="1:11" x14ac:dyDescent="0.2">
      <c r="A551" s="316"/>
      <c r="B551" s="316"/>
      <c r="C551" s="316"/>
      <c r="D551" s="344"/>
      <c r="E551" s="344"/>
      <c r="F551" s="344"/>
      <c r="G551" s="344"/>
      <c r="H551" s="344"/>
      <c r="I551" s="443"/>
      <c r="J551" s="443"/>
      <c r="K551" s="411"/>
    </row>
    <row r="552" spans="1:11" x14ac:dyDescent="0.2">
      <c r="A552" s="316"/>
      <c r="B552" s="316"/>
      <c r="C552" s="316"/>
      <c r="D552" s="344"/>
      <c r="E552" s="344"/>
      <c r="F552" s="344"/>
      <c r="G552" s="344"/>
      <c r="H552" s="344"/>
      <c r="I552" s="443"/>
      <c r="J552" s="443"/>
      <c r="K552" s="411"/>
    </row>
    <row r="553" spans="1:11" x14ac:dyDescent="0.2">
      <c r="A553" s="317" t="s">
        <v>748</v>
      </c>
      <c r="B553" s="409">
        <f>+B544*B550/100000</f>
        <v>0</v>
      </c>
      <c r="C553" s="341">
        <f t="shared" ref="C553:H553" si="317">+B554</f>
        <v>0.66</v>
      </c>
      <c r="D553" s="341">
        <f t="shared" si="317"/>
        <v>0.69299999999999995</v>
      </c>
      <c r="E553" s="341">
        <f t="shared" si="317"/>
        <v>0.72770000000000001</v>
      </c>
      <c r="F553" s="341">
        <f t="shared" si="317"/>
        <v>0.7641</v>
      </c>
      <c r="G553" s="341">
        <f t="shared" si="317"/>
        <v>0.80230000000000001</v>
      </c>
      <c r="H553" s="341">
        <f t="shared" si="317"/>
        <v>0.84240000000000004</v>
      </c>
      <c r="I553" s="415"/>
      <c r="J553" s="415"/>
      <c r="K553" s="415"/>
    </row>
    <row r="554" spans="1:11" x14ac:dyDescent="0.2">
      <c r="A554" s="317" t="s">
        <v>749</v>
      </c>
      <c r="B554" s="341">
        <f t="shared" ref="B554:H554" si="318">+B547*B550/100000</f>
        <v>0.66</v>
      </c>
      <c r="C554" s="341">
        <f t="shared" si="318"/>
        <v>0.69299999999999995</v>
      </c>
      <c r="D554" s="341">
        <f t="shared" si="318"/>
        <v>0.72770000000000001</v>
      </c>
      <c r="E554" s="341">
        <f t="shared" si="318"/>
        <v>0.7641</v>
      </c>
      <c r="F554" s="341">
        <f t="shared" si="318"/>
        <v>0.80230000000000001</v>
      </c>
      <c r="G554" s="341">
        <f t="shared" si="318"/>
        <v>0.84240000000000004</v>
      </c>
      <c r="H554" s="341">
        <f t="shared" si="318"/>
        <v>0.88449999999999995</v>
      </c>
      <c r="I554" s="415"/>
      <c r="J554" s="415"/>
      <c r="K554" s="415"/>
    </row>
    <row r="555" spans="1:11" x14ac:dyDescent="0.2">
      <c r="A555" s="316"/>
      <c r="B555" s="316"/>
      <c r="C555" s="316"/>
      <c r="D555" s="344"/>
      <c r="E555" s="344"/>
      <c r="F555" s="344"/>
      <c r="G555" s="344"/>
      <c r="H555" s="344"/>
      <c r="I555" s="443"/>
      <c r="J555" s="443"/>
      <c r="K555" s="411"/>
    </row>
    <row r="556" spans="1:11" x14ac:dyDescent="0.2">
      <c r="A556" s="315" t="str">
        <f>+'Input Sheet'!B69</f>
        <v>Safflower</v>
      </c>
      <c r="B556" s="332"/>
      <c r="C556" s="332"/>
      <c r="D556" s="389"/>
      <c r="E556" s="389"/>
      <c r="F556" s="389"/>
      <c r="G556" s="344"/>
      <c r="H556" s="344"/>
      <c r="I556" s="443"/>
      <c r="J556" s="443"/>
      <c r="K556" s="411"/>
    </row>
    <row r="557" spans="1:11" x14ac:dyDescent="0.2">
      <c r="A557" s="332" t="s">
        <v>354</v>
      </c>
      <c r="B557" s="332">
        <v>0</v>
      </c>
      <c r="C557" s="332">
        <f t="shared" ref="C557:H557" si="319">B560</f>
        <v>1</v>
      </c>
      <c r="D557" s="389">
        <f t="shared" si="319"/>
        <v>1</v>
      </c>
      <c r="E557" s="389">
        <f t="shared" si="319"/>
        <v>1</v>
      </c>
      <c r="F557" s="389">
        <f t="shared" si="319"/>
        <v>1</v>
      </c>
      <c r="G557" s="389">
        <f t="shared" si="319"/>
        <v>1</v>
      </c>
      <c r="H557" s="389">
        <f t="shared" si="319"/>
        <v>1</v>
      </c>
      <c r="I557" s="444"/>
      <c r="J557" s="444"/>
      <c r="K557" s="412"/>
    </row>
    <row r="558" spans="1:11" x14ac:dyDescent="0.2">
      <c r="A558" s="332" t="s">
        <v>743</v>
      </c>
      <c r="B558" s="333">
        <f t="shared" ref="B558:H558" si="320">SUM(B559:B560)-B557</f>
        <v>28</v>
      </c>
      <c r="C558" s="333">
        <f t="shared" si="320"/>
        <v>30</v>
      </c>
      <c r="D558" s="389">
        <f t="shared" si="320"/>
        <v>33</v>
      </c>
      <c r="E558" s="389">
        <f t="shared" si="320"/>
        <v>36</v>
      </c>
      <c r="F558" s="389">
        <f t="shared" si="320"/>
        <v>39</v>
      </c>
      <c r="G558" s="389">
        <f t="shared" si="320"/>
        <v>42</v>
      </c>
      <c r="H558" s="389">
        <f t="shared" si="320"/>
        <v>45</v>
      </c>
      <c r="I558" s="444"/>
      <c r="J558" s="444"/>
      <c r="K558" s="413"/>
    </row>
    <row r="559" spans="1:11" x14ac:dyDescent="0.2">
      <c r="A559" s="332" t="s">
        <v>744</v>
      </c>
      <c r="B559" s="333">
        <f t="shared" ref="B559:H559" si="321">+B33</f>
        <v>27</v>
      </c>
      <c r="C559" s="333">
        <f t="shared" si="321"/>
        <v>30</v>
      </c>
      <c r="D559" s="389">
        <f t="shared" si="321"/>
        <v>33</v>
      </c>
      <c r="E559" s="389">
        <f t="shared" si="321"/>
        <v>36</v>
      </c>
      <c r="F559" s="389">
        <f t="shared" si="321"/>
        <v>39</v>
      </c>
      <c r="G559" s="389">
        <f t="shared" si="321"/>
        <v>42</v>
      </c>
      <c r="H559" s="389">
        <f t="shared" si="321"/>
        <v>45</v>
      </c>
      <c r="I559" s="444"/>
      <c r="J559" s="444"/>
      <c r="K559" s="413"/>
    </row>
    <row r="560" spans="1:11" x14ac:dyDescent="0.2">
      <c r="A560" s="332" t="s">
        <v>745</v>
      </c>
      <c r="B560" s="332">
        <f t="shared" ref="B560:H560" si="322">ROUND(B559/B67,0)</f>
        <v>1</v>
      </c>
      <c r="C560" s="332">
        <f t="shared" si="322"/>
        <v>1</v>
      </c>
      <c r="D560" s="389">
        <f t="shared" si="322"/>
        <v>1</v>
      </c>
      <c r="E560" s="389">
        <f t="shared" si="322"/>
        <v>1</v>
      </c>
      <c r="F560" s="389">
        <f t="shared" si="322"/>
        <v>1</v>
      </c>
      <c r="G560" s="389">
        <f t="shared" si="322"/>
        <v>1</v>
      </c>
      <c r="H560" s="389">
        <f t="shared" si="322"/>
        <v>1</v>
      </c>
      <c r="I560" s="444"/>
      <c r="J560" s="444"/>
      <c r="K560" s="412"/>
    </row>
    <row r="561" spans="1:11" x14ac:dyDescent="0.2">
      <c r="A561" s="316"/>
      <c r="B561" s="316"/>
      <c r="C561" s="316"/>
      <c r="D561" s="344"/>
      <c r="E561" s="344"/>
      <c r="F561" s="344"/>
      <c r="G561" s="344"/>
      <c r="H561" s="344"/>
      <c r="I561" s="443"/>
      <c r="J561" s="443"/>
      <c r="K561" s="411"/>
    </row>
    <row r="562" spans="1:11" x14ac:dyDescent="0.2">
      <c r="A562" s="315" t="s">
        <v>746</v>
      </c>
      <c r="B562" s="316"/>
      <c r="C562" s="316"/>
      <c r="D562" s="344"/>
      <c r="E562" s="344"/>
      <c r="F562" s="344"/>
      <c r="G562" s="344"/>
      <c r="H562" s="344"/>
      <c r="I562" s="443"/>
      <c r="J562" s="443"/>
      <c r="K562" s="411"/>
    </row>
    <row r="563" spans="1:11" x14ac:dyDescent="0.2">
      <c r="A563" s="315" t="s">
        <v>747</v>
      </c>
      <c r="B563" s="589">
        <f>+'Input Sheet'!C69</f>
        <v>76000</v>
      </c>
      <c r="C563" s="589">
        <f>+'Input Sheet'!D69</f>
        <v>79800</v>
      </c>
      <c r="D563" s="589">
        <f>+'Input Sheet'!E69</f>
        <v>83790</v>
      </c>
      <c r="E563" s="589">
        <f>+'Input Sheet'!F69</f>
        <v>87980</v>
      </c>
      <c r="F563" s="589">
        <f>+'Input Sheet'!G69</f>
        <v>92380</v>
      </c>
      <c r="G563" s="589">
        <f>+'Input Sheet'!H69</f>
        <v>97000</v>
      </c>
      <c r="H563" s="589">
        <f>+'Input Sheet'!I69</f>
        <v>101850</v>
      </c>
      <c r="I563" s="443"/>
      <c r="J563" s="443"/>
      <c r="K563" s="414"/>
    </row>
    <row r="564" spans="1:11" x14ac:dyDescent="0.2">
      <c r="A564" s="315"/>
      <c r="B564" s="329"/>
      <c r="C564" s="408"/>
      <c r="D564" s="344"/>
      <c r="E564" s="344"/>
      <c r="F564" s="344"/>
      <c r="G564" s="344"/>
      <c r="H564" s="344"/>
      <c r="I564" s="443"/>
      <c r="J564" s="443"/>
      <c r="K564" s="414"/>
    </row>
    <row r="565" spans="1:11" x14ac:dyDescent="0.2">
      <c r="A565" s="317" t="s">
        <v>748</v>
      </c>
      <c r="B565" s="409">
        <f>+B557*B563/100000</f>
        <v>0</v>
      </c>
      <c r="C565" s="341">
        <f t="shared" ref="C565:H565" si="323">+B566</f>
        <v>0.76</v>
      </c>
      <c r="D565" s="341">
        <f t="shared" si="323"/>
        <v>0.79800000000000004</v>
      </c>
      <c r="E565" s="341">
        <f t="shared" si="323"/>
        <v>0.83789999999999998</v>
      </c>
      <c r="F565" s="341">
        <f t="shared" si="323"/>
        <v>0.87980000000000003</v>
      </c>
      <c r="G565" s="341">
        <f t="shared" si="323"/>
        <v>0.92379999999999995</v>
      </c>
      <c r="H565" s="341">
        <f t="shared" si="323"/>
        <v>0.97</v>
      </c>
      <c r="I565" s="415"/>
      <c r="J565" s="415"/>
      <c r="K565" s="415"/>
    </row>
    <row r="566" spans="1:11" x14ac:dyDescent="0.2">
      <c r="A566" s="317" t="s">
        <v>749</v>
      </c>
      <c r="B566" s="341">
        <f t="shared" ref="B566:H566" si="324">+B560*B563/100000</f>
        <v>0.76</v>
      </c>
      <c r="C566" s="341">
        <f t="shared" si="324"/>
        <v>0.79800000000000004</v>
      </c>
      <c r="D566" s="341">
        <f t="shared" si="324"/>
        <v>0.83789999999999998</v>
      </c>
      <c r="E566" s="341">
        <f t="shared" si="324"/>
        <v>0.87980000000000003</v>
      </c>
      <c r="F566" s="341">
        <f t="shared" si="324"/>
        <v>0.92379999999999995</v>
      </c>
      <c r="G566" s="341">
        <f t="shared" si="324"/>
        <v>0.97</v>
      </c>
      <c r="H566" s="341">
        <f t="shared" si="324"/>
        <v>1.0185</v>
      </c>
      <c r="I566" s="415"/>
      <c r="J566" s="415"/>
      <c r="K566" s="415"/>
    </row>
    <row r="567" spans="1:11" x14ac:dyDescent="0.2">
      <c r="A567" s="317"/>
      <c r="B567" s="341"/>
      <c r="C567" s="341"/>
      <c r="D567" s="341"/>
      <c r="E567" s="341"/>
      <c r="F567" s="341"/>
      <c r="G567" s="341"/>
      <c r="H567" s="341"/>
      <c r="I567" s="415"/>
      <c r="J567" s="415"/>
      <c r="K567" s="415"/>
    </row>
    <row r="568" spans="1:11" x14ac:dyDescent="0.2">
      <c r="A568" s="315" t="str">
        <f>+'Input Sheet'!B71</f>
        <v>Mustered</v>
      </c>
      <c r="B568" s="332"/>
      <c r="C568" s="332"/>
      <c r="D568" s="389"/>
      <c r="E568" s="389"/>
      <c r="F568" s="389"/>
      <c r="G568" s="344"/>
      <c r="H568" s="344"/>
      <c r="I568" s="443"/>
      <c r="J568" s="443"/>
      <c r="K568" s="411"/>
    </row>
    <row r="569" spans="1:11" x14ac:dyDescent="0.2">
      <c r="A569" s="332" t="s">
        <v>354</v>
      </c>
      <c r="B569" s="332">
        <v>0</v>
      </c>
      <c r="C569" s="332">
        <f t="shared" ref="C569:H569" si="325">B572</f>
        <v>4</v>
      </c>
      <c r="D569" s="389">
        <f t="shared" si="325"/>
        <v>4</v>
      </c>
      <c r="E569" s="389">
        <f t="shared" si="325"/>
        <v>4</v>
      </c>
      <c r="F569" s="389">
        <f t="shared" si="325"/>
        <v>4</v>
      </c>
      <c r="G569" s="389">
        <f t="shared" si="325"/>
        <v>4</v>
      </c>
      <c r="H569" s="389">
        <f t="shared" si="325"/>
        <v>4</v>
      </c>
      <c r="I569" s="444"/>
      <c r="J569" s="444"/>
      <c r="K569" s="412"/>
    </row>
    <row r="570" spans="1:11" x14ac:dyDescent="0.2">
      <c r="A570" s="332" t="s">
        <v>743</v>
      </c>
      <c r="B570" s="333">
        <f t="shared" ref="B570:H570" si="326">SUM(B571:B572)-B569</f>
        <v>193</v>
      </c>
      <c r="C570" s="333">
        <f t="shared" si="326"/>
        <v>210</v>
      </c>
      <c r="D570" s="389">
        <f t="shared" si="326"/>
        <v>231</v>
      </c>
      <c r="E570" s="389">
        <f t="shared" si="326"/>
        <v>252</v>
      </c>
      <c r="F570" s="389">
        <f t="shared" si="326"/>
        <v>273</v>
      </c>
      <c r="G570" s="389">
        <f t="shared" si="326"/>
        <v>294</v>
      </c>
      <c r="H570" s="389">
        <f t="shared" si="326"/>
        <v>315</v>
      </c>
      <c r="I570" s="444"/>
      <c r="J570" s="444"/>
      <c r="K570" s="413"/>
    </row>
    <row r="571" spans="1:11" x14ac:dyDescent="0.2">
      <c r="A571" s="332" t="s">
        <v>744</v>
      </c>
      <c r="B571" s="333">
        <f t="shared" ref="B571:H571" si="327">+B34</f>
        <v>189</v>
      </c>
      <c r="C571" s="333">
        <f t="shared" si="327"/>
        <v>210</v>
      </c>
      <c r="D571" s="389">
        <f t="shared" si="327"/>
        <v>231</v>
      </c>
      <c r="E571" s="389">
        <f t="shared" si="327"/>
        <v>252</v>
      </c>
      <c r="F571" s="389">
        <f t="shared" si="327"/>
        <v>273</v>
      </c>
      <c r="G571" s="389">
        <f t="shared" si="327"/>
        <v>294</v>
      </c>
      <c r="H571" s="389">
        <f t="shared" si="327"/>
        <v>315</v>
      </c>
      <c r="I571" s="444"/>
      <c r="J571" s="444"/>
      <c r="K571" s="413"/>
    </row>
    <row r="572" spans="1:11" x14ac:dyDescent="0.2">
      <c r="A572" s="332" t="s">
        <v>745</v>
      </c>
      <c r="B572" s="332">
        <f t="shared" ref="B572:H572" si="328">ROUND(B571/B67,0)</f>
        <v>4</v>
      </c>
      <c r="C572" s="332">
        <f t="shared" si="328"/>
        <v>4</v>
      </c>
      <c r="D572" s="389">
        <f t="shared" si="328"/>
        <v>4</v>
      </c>
      <c r="E572" s="389">
        <f t="shared" si="328"/>
        <v>4</v>
      </c>
      <c r="F572" s="389">
        <f t="shared" si="328"/>
        <v>4</v>
      </c>
      <c r="G572" s="389">
        <f t="shared" si="328"/>
        <v>4</v>
      </c>
      <c r="H572" s="389">
        <f t="shared" si="328"/>
        <v>4</v>
      </c>
      <c r="I572" s="444"/>
      <c r="J572" s="444"/>
      <c r="K572" s="412"/>
    </row>
    <row r="573" spans="1:11" x14ac:dyDescent="0.2">
      <c r="A573" s="316"/>
      <c r="B573" s="316"/>
      <c r="C573" s="316"/>
      <c r="D573" s="344"/>
      <c r="E573" s="344"/>
      <c r="F573" s="344"/>
      <c r="G573" s="344"/>
      <c r="H573" s="344"/>
      <c r="I573" s="443"/>
      <c r="J573" s="443"/>
      <c r="K573" s="411"/>
    </row>
    <row r="574" spans="1:11" x14ac:dyDescent="0.2">
      <c r="A574" s="315" t="s">
        <v>746</v>
      </c>
      <c r="B574" s="316"/>
      <c r="C574" s="316"/>
      <c r="D574" s="344"/>
      <c r="E574" s="344"/>
      <c r="F574" s="344"/>
      <c r="G574" s="344"/>
      <c r="H574" s="344"/>
      <c r="I574" s="443"/>
      <c r="J574" s="443"/>
      <c r="K574" s="411"/>
    </row>
    <row r="575" spans="1:11" x14ac:dyDescent="0.2">
      <c r="A575" s="315" t="s">
        <v>747</v>
      </c>
      <c r="B575" s="329">
        <f>+'Input Sheet'!C71</f>
        <v>60000</v>
      </c>
      <c r="C575" s="329">
        <f>+'Input Sheet'!D71</f>
        <v>63000</v>
      </c>
      <c r="D575" s="329">
        <f>+'Input Sheet'!E71</f>
        <v>66150</v>
      </c>
      <c r="E575" s="329">
        <f>+'Input Sheet'!F71</f>
        <v>69460</v>
      </c>
      <c r="F575" s="329">
        <f>+'Input Sheet'!G71</f>
        <v>72930</v>
      </c>
      <c r="G575" s="329">
        <f>+'Input Sheet'!H71</f>
        <v>76580</v>
      </c>
      <c r="H575" s="329">
        <f>+'Input Sheet'!I71</f>
        <v>80410</v>
      </c>
      <c r="I575" s="443"/>
      <c r="J575" s="443"/>
      <c r="K575" s="414"/>
    </row>
    <row r="576" spans="1:11" x14ac:dyDescent="0.2">
      <c r="A576" s="315"/>
      <c r="B576" s="329"/>
      <c r="C576" s="408"/>
      <c r="D576" s="344"/>
      <c r="E576" s="344"/>
      <c r="F576" s="344"/>
      <c r="G576" s="344"/>
      <c r="H576" s="344"/>
      <c r="I576" s="443"/>
      <c r="J576" s="443"/>
      <c r="K576" s="414"/>
    </row>
    <row r="577" spans="1:11" x14ac:dyDescent="0.2">
      <c r="A577" s="317" t="s">
        <v>748</v>
      </c>
      <c r="B577" s="409">
        <f>+B569*B575/100000</f>
        <v>0</v>
      </c>
      <c r="C577" s="341">
        <f t="shared" ref="C577:H577" si="329">+B578</f>
        <v>2.4</v>
      </c>
      <c r="D577" s="341">
        <f t="shared" si="329"/>
        <v>2.52</v>
      </c>
      <c r="E577" s="341">
        <f t="shared" si="329"/>
        <v>2.6459999999999999</v>
      </c>
      <c r="F577" s="341">
        <f t="shared" si="329"/>
        <v>2.7784</v>
      </c>
      <c r="G577" s="341">
        <f t="shared" si="329"/>
        <v>2.9171999999999998</v>
      </c>
      <c r="H577" s="341">
        <f t="shared" si="329"/>
        <v>3.0632000000000001</v>
      </c>
      <c r="I577" s="415"/>
      <c r="J577" s="415"/>
      <c r="K577" s="415"/>
    </row>
    <row r="578" spans="1:11" x14ac:dyDescent="0.2">
      <c r="A578" s="317" t="s">
        <v>749</v>
      </c>
      <c r="B578" s="341">
        <f t="shared" ref="B578:H578" si="330">+B572*B575/100000</f>
        <v>2.4</v>
      </c>
      <c r="C578" s="341">
        <f t="shared" si="330"/>
        <v>2.52</v>
      </c>
      <c r="D578" s="341">
        <f t="shared" si="330"/>
        <v>2.6459999999999999</v>
      </c>
      <c r="E578" s="341">
        <f t="shared" si="330"/>
        <v>2.7784</v>
      </c>
      <c r="F578" s="341">
        <f t="shared" si="330"/>
        <v>2.9171999999999998</v>
      </c>
      <c r="G578" s="341">
        <f t="shared" si="330"/>
        <v>3.0632000000000001</v>
      </c>
      <c r="H578" s="341">
        <f t="shared" si="330"/>
        <v>3.2164000000000001</v>
      </c>
      <c r="I578" s="415"/>
      <c r="J578" s="415"/>
      <c r="K578" s="415"/>
    </row>
    <row r="579" spans="1:11" x14ac:dyDescent="0.2">
      <c r="A579" s="316"/>
      <c r="B579" s="316"/>
      <c r="C579" s="316"/>
      <c r="D579" s="344"/>
      <c r="E579" s="344"/>
      <c r="F579" s="344"/>
      <c r="G579" s="344"/>
      <c r="H579" s="344"/>
      <c r="I579" s="443"/>
      <c r="J579" s="443"/>
      <c r="K579" s="411"/>
    </row>
    <row r="580" spans="1:11" hidden="1" x14ac:dyDescent="0.2">
      <c r="A580" s="315" t="str">
        <f>+'Input Sheet'!B72</f>
        <v>Tomato</v>
      </c>
      <c r="B580" s="332"/>
      <c r="C580" s="332"/>
      <c r="D580" s="389"/>
      <c r="E580" s="389"/>
      <c r="F580" s="389"/>
      <c r="G580" s="344"/>
      <c r="H580" s="344"/>
      <c r="I580" s="443"/>
      <c r="J580" s="443"/>
      <c r="K580" s="411"/>
    </row>
    <row r="581" spans="1:11" hidden="1" x14ac:dyDescent="0.2">
      <c r="A581" s="332" t="s">
        <v>354</v>
      </c>
      <c r="B581" s="332">
        <v>0</v>
      </c>
      <c r="C581" s="332">
        <f t="shared" ref="C581:H581" si="331">B584</f>
        <v>0</v>
      </c>
      <c r="D581" s="389">
        <f t="shared" si="331"/>
        <v>0</v>
      </c>
      <c r="E581" s="389">
        <f t="shared" si="331"/>
        <v>0</v>
      </c>
      <c r="F581" s="389">
        <f t="shared" si="331"/>
        <v>0</v>
      </c>
      <c r="G581" s="389">
        <f t="shared" si="331"/>
        <v>0</v>
      </c>
      <c r="H581" s="389">
        <f t="shared" si="331"/>
        <v>0</v>
      </c>
      <c r="I581" s="444"/>
      <c r="J581" s="444"/>
      <c r="K581" s="412"/>
    </row>
    <row r="582" spans="1:11" hidden="1" x14ac:dyDescent="0.2">
      <c r="A582" s="332" t="s">
        <v>743</v>
      </c>
      <c r="B582" s="333">
        <f t="shared" ref="B582:H582" si="332">SUM(B583:B584)-B581</f>
        <v>0</v>
      </c>
      <c r="C582" s="333">
        <f t="shared" si="332"/>
        <v>0</v>
      </c>
      <c r="D582" s="389">
        <f t="shared" si="332"/>
        <v>0</v>
      </c>
      <c r="E582" s="389">
        <f t="shared" si="332"/>
        <v>0</v>
      </c>
      <c r="F582" s="389">
        <f t="shared" si="332"/>
        <v>0</v>
      </c>
      <c r="G582" s="389">
        <f t="shared" si="332"/>
        <v>0</v>
      </c>
      <c r="H582" s="389">
        <f t="shared" si="332"/>
        <v>0</v>
      </c>
      <c r="I582" s="444"/>
      <c r="J582" s="444"/>
      <c r="K582" s="413"/>
    </row>
    <row r="583" spans="1:11" hidden="1" x14ac:dyDescent="0.2">
      <c r="A583" s="332" t="s">
        <v>744</v>
      </c>
      <c r="B583" s="333">
        <f t="shared" ref="B583:H583" si="333">+B35</f>
        <v>0</v>
      </c>
      <c r="C583" s="333">
        <f t="shared" si="333"/>
        <v>0</v>
      </c>
      <c r="D583" s="389">
        <f t="shared" si="333"/>
        <v>0</v>
      </c>
      <c r="E583" s="389">
        <f t="shared" si="333"/>
        <v>0</v>
      </c>
      <c r="F583" s="389">
        <f t="shared" si="333"/>
        <v>0</v>
      </c>
      <c r="G583" s="389">
        <f t="shared" si="333"/>
        <v>0</v>
      </c>
      <c r="H583" s="389">
        <f t="shared" si="333"/>
        <v>0</v>
      </c>
      <c r="I583" s="444"/>
      <c r="J583" s="444"/>
      <c r="K583" s="413"/>
    </row>
    <row r="584" spans="1:11" hidden="1" x14ac:dyDescent="0.2">
      <c r="A584" s="332" t="s">
        <v>745</v>
      </c>
      <c r="B584" s="332">
        <f t="shared" ref="B584:H584" si="334">ROUND(B583/B67,0)</f>
        <v>0</v>
      </c>
      <c r="C584" s="332">
        <f t="shared" si="334"/>
        <v>0</v>
      </c>
      <c r="D584" s="389">
        <f t="shared" si="334"/>
        <v>0</v>
      </c>
      <c r="E584" s="389">
        <f t="shared" si="334"/>
        <v>0</v>
      </c>
      <c r="F584" s="389">
        <f t="shared" si="334"/>
        <v>0</v>
      </c>
      <c r="G584" s="389">
        <f t="shared" si="334"/>
        <v>0</v>
      </c>
      <c r="H584" s="389">
        <f t="shared" si="334"/>
        <v>0</v>
      </c>
      <c r="I584" s="444"/>
      <c r="J584" s="444"/>
      <c r="K584" s="412"/>
    </row>
    <row r="585" spans="1:11" hidden="1" x14ac:dyDescent="0.2">
      <c r="A585" s="316"/>
      <c r="B585" s="316"/>
      <c r="C585" s="316"/>
      <c r="D585" s="344"/>
      <c r="E585" s="344"/>
      <c r="F585" s="344"/>
      <c r="G585" s="344"/>
      <c r="H585" s="344"/>
      <c r="I585" s="443"/>
      <c r="J585" s="443"/>
      <c r="K585" s="411"/>
    </row>
    <row r="586" spans="1:11" hidden="1" x14ac:dyDescent="0.2">
      <c r="A586" s="315" t="s">
        <v>746</v>
      </c>
      <c r="B586" s="316"/>
      <c r="C586" s="316"/>
      <c r="D586" s="344"/>
      <c r="E586" s="344"/>
      <c r="F586" s="344"/>
      <c r="G586" s="344"/>
      <c r="H586" s="344"/>
      <c r="I586" s="443"/>
      <c r="J586" s="443"/>
      <c r="K586" s="411"/>
    </row>
    <row r="587" spans="1:11" hidden="1" x14ac:dyDescent="0.2">
      <c r="A587" s="315" t="s">
        <v>747</v>
      </c>
      <c r="B587" s="589">
        <f>+'Input Sheet'!C72</f>
        <v>0</v>
      </c>
      <c r="C587" s="589">
        <f>+'Input Sheet'!D72</f>
        <v>0</v>
      </c>
      <c r="D587" s="589">
        <f>+'Input Sheet'!E72</f>
        <v>0</v>
      </c>
      <c r="E587" s="589">
        <f>+'Input Sheet'!F72</f>
        <v>0</v>
      </c>
      <c r="F587" s="589">
        <f>+'Input Sheet'!G72</f>
        <v>0</v>
      </c>
      <c r="G587" s="589">
        <f>+'Input Sheet'!H72</f>
        <v>0</v>
      </c>
      <c r="H587" s="589">
        <f>+'Input Sheet'!I72</f>
        <v>0</v>
      </c>
      <c r="I587" s="443"/>
      <c r="J587" s="443"/>
      <c r="K587" s="414"/>
    </row>
    <row r="588" spans="1:11" hidden="1" x14ac:dyDescent="0.2">
      <c r="A588" s="315"/>
      <c r="B588" s="329"/>
      <c r="C588" s="408"/>
      <c r="D588" s="344"/>
      <c r="E588" s="344"/>
      <c r="F588" s="344"/>
      <c r="G588" s="344"/>
      <c r="H588" s="344"/>
      <c r="I588" s="443"/>
      <c r="J588" s="443"/>
      <c r="K588" s="414"/>
    </row>
    <row r="589" spans="1:11" hidden="1" x14ac:dyDescent="0.2">
      <c r="A589" s="317" t="s">
        <v>748</v>
      </c>
      <c r="B589" s="409">
        <f>+B581*B587/100000</f>
        <v>0</v>
      </c>
      <c r="C589" s="341">
        <f t="shared" ref="C589:H589" si="335">+B590</f>
        <v>0</v>
      </c>
      <c r="D589" s="341">
        <f t="shared" si="335"/>
        <v>0</v>
      </c>
      <c r="E589" s="341">
        <f t="shared" si="335"/>
        <v>0</v>
      </c>
      <c r="F589" s="341">
        <f t="shared" si="335"/>
        <v>0</v>
      </c>
      <c r="G589" s="341">
        <f t="shared" si="335"/>
        <v>0</v>
      </c>
      <c r="H589" s="341">
        <f t="shared" si="335"/>
        <v>0</v>
      </c>
      <c r="I589" s="415"/>
      <c r="J589" s="415"/>
      <c r="K589" s="415"/>
    </row>
    <row r="590" spans="1:11" hidden="1" x14ac:dyDescent="0.2">
      <c r="A590" s="317" t="s">
        <v>749</v>
      </c>
      <c r="B590" s="341">
        <f t="shared" ref="B590:H590" si="336">+B584*B587/100000</f>
        <v>0</v>
      </c>
      <c r="C590" s="341">
        <f t="shared" si="336"/>
        <v>0</v>
      </c>
      <c r="D590" s="341">
        <f t="shared" si="336"/>
        <v>0</v>
      </c>
      <c r="E590" s="341">
        <f t="shared" si="336"/>
        <v>0</v>
      </c>
      <c r="F590" s="341">
        <f t="shared" si="336"/>
        <v>0</v>
      </c>
      <c r="G590" s="341">
        <f t="shared" si="336"/>
        <v>0</v>
      </c>
      <c r="H590" s="341">
        <f t="shared" si="336"/>
        <v>0</v>
      </c>
      <c r="I590" s="415"/>
      <c r="J590" s="415"/>
      <c r="K590" s="415"/>
    </row>
    <row r="591" spans="1:11" hidden="1" x14ac:dyDescent="0.2">
      <c r="A591" s="316"/>
      <c r="B591" s="316"/>
      <c r="C591" s="316"/>
      <c r="D591" s="344"/>
      <c r="E591" s="344"/>
      <c r="F591" s="344"/>
      <c r="G591" s="344"/>
      <c r="H591" s="344"/>
      <c r="I591" s="443"/>
      <c r="J591" s="443"/>
      <c r="K591" s="411"/>
    </row>
    <row r="592" spans="1:11" hidden="1" x14ac:dyDescent="0.2">
      <c r="A592" s="315" t="str">
        <f>+'Input Sheet'!B73</f>
        <v>Chilli</v>
      </c>
      <c r="B592" s="332"/>
      <c r="C592" s="332"/>
      <c r="D592" s="389"/>
      <c r="E592" s="389"/>
      <c r="F592" s="389"/>
      <c r="G592" s="344"/>
      <c r="H592" s="344"/>
      <c r="I592" s="443"/>
      <c r="J592" s="443"/>
      <c r="K592" s="411"/>
    </row>
    <row r="593" spans="1:11" hidden="1" x14ac:dyDescent="0.2">
      <c r="A593" s="332" t="s">
        <v>354</v>
      </c>
      <c r="B593" s="332">
        <v>0</v>
      </c>
      <c r="C593" s="332">
        <f t="shared" ref="C593:H593" si="337">B596</f>
        <v>0</v>
      </c>
      <c r="D593" s="389">
        <f t="shared" si="337"/>
        <v>0</v>
      </c>
      <c r="E593" s="389">
        <f t="shared" si="337"/>
        <v>0</v>
      </c>
      <c r="F593" s="389">
        <f t="shared" si="337"/>
        <v>0</v>
      </c>
      <c r="G593" s="389">
        <f t="shared" si="337"/>
        <v>0</v>
      </c>
      <c r="H593" s="389">
        <f t="shared" si="337"/>
        <v>0</v>
      </c>
      <c r="I593" s="444"/>
      <c r="J593" s="444"/>
      <c r="K593" s="412"/>
    </row>
    <row r="594" spans="1:11" hidden="1" x14ac:dyDescent="0.2">
      <c r="A594" s="332" t="s">
        <v>743</v>
      </c>
      <c r="B594" s="333">
        <f t="shared" ref="B594:H594" si="338">SUM(B595:B596)-B593</f>
        <v>0</v>
      </c>
      <c r="C594" s="333">
        <f t="shared" si="338"/>
        <v>0</v>
      </c>
      <c r="D594" s="389">
        <f t="shared" si="338"/>
        <v>0</v>
      </c>
      <c r="E594" s="389">
        <f t="shared" si="338"/>
        <v>0</v>
      </c>
      <c r="F594" s="389">
        <f t="shared" si="338"/>
        <v>0</v>
      </c>
      <c r="G594" s="389">
        <f t="shared" si="338"/>
        <v>0</v>
      </c>
      <c r="H594" s="389">
        <f t="shared" si="338"/>
        <v>0</v>
      </c>
      <c r="I594" s="444"/>
      <c r="J594" s="444"/>
      <c r="K594" s="413"/>
    </row>
    <row r="595" spans="1:11" hidden="1" x14ac:dyDescent="0.2">
      <c r="A595" s="332" t="s">
        <v>744</v>
      </c>
      <c r="B595" s="333">
        <f t="shared" ref="B595:H595" si="339">+B36</f>
        <v>0</v>
      </c>
      <c r="C595" s="333">
        <f t="shared" si="339"/>
        <v>0</v>
      </c>
      <c r="D595" s="389">
        <f t="shared" si="339"/>
        <v>0</v>
      </c>
      <c r="E595" s="389">
        <f t="shared" si="339"/>
        <v>0</v>
      </c>
      <c r="F595" s="389">
        <f t="shared" si="339"/>
        <v>0</v>
      </c>
      <c r="G595" s="389">
        <f t="shared" si="339"/>
        <v>0</v>
      </c>
      <c r="H595" s="389">
        <f t="shared" si="339"/>
        <v>0</v>
      </c>
      <c r="I595" s="444"/>
      <c r="J595" s="444"/>
      <c r="K595" s="413"/>
    </row>
    <row r="596" spans="1:11" hidden="1" x14ac:dyDescent="0.2">
      <c r="A596" s="332" t="s">
        <v>745</v>
      </c>
      <c r="B596" s="332">
        <f t="shared" ref="B596:H596" si="340">ROUND(B595/B67,0)</f>
        <v>0</v>
      </c>
      <c r="C596" s="332">
        <f t="shared" si="340"/>
        <v>0</v>
      </c>
      <c r="D596" s="389">
        <f t="shared" si="340"/>
        <v>0</v>
      </c>
      <c r="E596" s="389">
        <f t="shared" si="340"/>
        <v>0</v>
      </c>
      <c r="F596" s="389">
        <f t="shared" si="340"/>
        <v>0</v>
      </c>
      <c r="G596" s="389">
        <f t="shared" si="340"/>
        <v>0</v>
      </c>
      <c r="H596" s="389">
        <f t="shared" si="340"/>
        <v>0</v>
      </c>
      <c r="I596" s="444"/>
      <c r="J596" s="444"/>
      <c r="K596" s="412"/>
    </row>
    <row r="597" spans="1:11" hidden="1" x14ac:dyDescent="0.2">
      <c r="A597" s="316"/>
      <c r="B597" s="316"/>
      <c r="C597" s="316"/>
      <c r="D597" s="344"/>
      <c r="E597" s="344"/>
      <c r="F597" s="344"/>
      <c r="G597" s="344"/>
      <c r="H597" s="344"/>
      <c r="I597" s="443"/>
      <c r="J597" s="443"/>
      <c r="K597" s="411"/>
    </row>
    <row r="598" spans="1:11" hidden="1" x14ac:dyDescent="0.2">
      <c r="A598" s="315" t="s">
        <v>746</v>
      </c>
      <c r="B598" s="316"/>
      <c r="C598" s="316"/>
      <c r="D598" s="344"/>
      <c r="E598" s="344"/>
      <c r="F598" s="344"/>
      <c r="G598" s="344"/>
      <c r="H598" s="344"/>
      <c r="I598" s="443"/>
      <c r="J598" s="443"/>
      <c r="K598" s="411"/>
    </row>
    <row r="599" spans="1:11" hidden="1" x14ac:dyDescent="0.2">
      <c r="A599" s="315" t="s">
        <v>747</v>
      </c>
      <c r="B599" s="589">
        <f>+'Input Sheet'!C73</f>
        <v>0</v>
      </c>
      <c r="C599" s="589">
        <f>+'Input Sheet'!D73</f>
        <v>0</v>
      </c>
      <c r="D599" s="589">
        <f>+'Input Sheet'!E73</f>
        <v>0</v>
      </c>
      <c r="E599" s="589">
        <f>+'Input Sheet'!F73</f>
        <v>0</v>
      </c>
      <c r="F599" s="589">
        <f>+'Input Sheet'!G73</f>
        <v>0</v>
      </c>
      <c r="G599" s="589">
        <f>+'Input Sheet'!H73</f>
        <v>0</v>
      </c>
      <c r="H599" s="589">
        <f>+'Input Sheet'!I73</f>
        <v>0</v>
      </c>
      <c r="I599" s="443"/>
      <c r="J599" s="443"/>
      <c r="K599" s="414"/>
    </row>
    <row r="600" spans="1:11" hidden="1" x14ac:dyDescent="0.2">
      <c r="A600" s="315"/>
      <c r="B600" s="329"/>
      <c r="C600" s="408"/>
      <c r="D600" s="344"/>
      <c r="E600" s="344"/>
      <c r="F600" s="344"/>
      <c r="G600" s="344"/>
      <c r="H600" s="344"/>
      <c r="I600" s="443"/>
      <c r="J600" s="443"/>
      <c r="K600" s="414"/>
    </row>
    <row r="601" spans="1:11" hidden="1" x14ac:dyDescent="0.2">
      <c r="A601" s="317" t="s">
        <v>748</v>
      </c>
      <c r="B601" s="409">
        <f>+B593*B599/100000</f>
        <v>0</v>
      </c>
      <c r="C601" s="341">
        <f t="shared" ref="C601:H601" si="341">+B602</f>
        <v>0</v>
      </c>
      <c r="D601" s="341">
        <f t="shared" si="341"/>
        <v>0</v>
      </c>
      <c r="E601" s="341">
        <f t="shared" si="341"/>
        <v>0</v>
      </c>
      <c r="F601" s="341">
        <f t="shared" si="341"/>
        <v>0</v>
      </c>
      <c r="G601" s="341">
        <f t="shared" si="341"/>
        <v>0</v>
      </c>
      <c r="H601" s="341">
        <f t="shared" si="341"/>
        <v>0</v>
      </c>
      <c r="I601" s="415"/>
      <c r="J601" s="415"/>
      <c r="K601" s="415"/>
    </row>
    <row r="602" spans="1:11" hidden="1" x14ac:dyDescent="0.2">
      <c r="A602" s="317" t="s">
        <v>749</v>
      </c>
      <c r="B602" s="341">
        <f t="shared" ref="B602:H602" si="342">+B596*B599/100000</f>
        <v>0</v>
      </c>
      <c r="C602" s="341">
        <f t="shared" si="342"/>
        <v>0</v>
      </c>
      <c r="D602" s="341">
        <f t="shared" si="342"/>
        <v>0</v>
      </c>
      <c r="E602" s="341">
        <f t="shared" si="342"/>
        <v>0</v>
      </c>
      <c r="F602" s="341">
        <f t="shared" si="342"/>
        <v>0</v>
      </c>
      <c r="G602" s="341">
        <f t="shared" si="342"/>
        <v>0</v>
      </c>
      <c r="H602" s="341">
        <f t="shared" si="342"/>
        <v>0</v>
      </c>
      <c r="I602" s="415"/>
      <c r="J602" s="415"/>
      <c r="K602" s="415"/>
    </row>
    <row r="603" spans="1:11" x14ac:dyDescent="0.2">
      <c r="A603" s="316"/>
      <c r="B603" s="316"/>
      <c r="C603" s="316"/>
      <c r="D603" s="344"/>
      <c r="E603" s="344"/>
      <c r="F603" s="344"/>
      <c r="G603" s="344"/>
      <c r="H603" s="344"/>
      <c r="I603" s="443"/>
      <c r="J603" s="443"/>
      <c r="K603" s="411"/>
    </row>
    <row r="604" spans="1:11" x14ac:dyDescent="0.2">
      <c r="A604" s="315" t="s">
        <v>670</v>
      </c>
      <c r="B604" s="340">
        <f>+B553+B565</f>
        <v>0</v>
      </c>
      <c r="C604" s="340">
        <f t="shared" ref="C604:H604" si="343">B605</f>
        <v>3.82</v>
      </c>
      <c r="D604" s="429">
        <f t="shared" si="343"/>
        <v>4.0110000000000001</v>
      </c>
      <c r="E604" s="429">
        <f t="shared" si="343"/>
        <v>4.2115999999999998</v>
      </c>
      <c r="F604" s="429">
        <f t="shared" si="343"/>
        <v>4.4222999999999999</v>
      </c>
      <c r="G604" s="429">
        <f t="shared" si="343"/>
        <v>4.6433</v>
      </c>
      <c r="H604" s="429">
        <f t="shared" si="343"/>
        <v>4.8756000000000004</v>
      </c>
      <c r="I604" s="445"/>
      <c r="J604" s="445"/>
      <c r="K604" s="416"/>
    </row>
    <row r="605" spans="1:11" x14ac:dyDescent="0.2">
      <c r="A605" s="315" t="s">
        <v>671</v>
      </c>
      <c r="B605" s="340">
        <f t="shared" ref="B605:H605" si="344">+B554+B566+B578+B590+B602</f>
        <v>3.82</v>
      </c>
      <c r="C605" s="340">
        <f t="shared" si="344"/>
        <v>4.0110000000000001</v>
      </c>
      <c r="D605" s="429">
        <f t="shared" si="344"/>
        <v>4.2115999999999998</v>
      </c>
      <c r="E605" s="429">
        <f t="shared" si="344"/>
        <v>4.4222999999999999</v>
      </c>
      <c r="F605" s="429">
        <f t="shared" si="344"/>
        <v>4.6433</v>
      </c>
      <c r="G605" s="429">
        <f t="shared" si="344"/>
        <v>4.8756000000000004</v>
      </c>
      <c r="H605" s="429">
        <f t="shared" si="344"/>
        <v>5.1194000000000006</v>
      </c>
      <c r="I605" s="445"/>
      <c r="J605" s="445"/>
      <c r="K605" s="416"/>
    </row>
    <row r="607" spans="1:11" x14ac:dyDescent="0.2">
      <c r="A607" s="5"/>
    </row>
    <row r="608" spans="1:11" ht="18.75" hidden="1" x14ac:dyDescent="0.25">
      <c r="A608" s="595" t="s">
        <v>859</v>
      </c>
      <c r="D608"/>
      <c r="E608"/>
      <c r="F608"/>
      <c r="G608"/>
      <c r="H608"/>
      <c r="I608"/>
      <c r="J608"/>
    </row>
    <row r="609" spans="1:14" hidden="1" x14ac:dyDescent="0.2">
      <c r="D609"/>
      <c r="E609"/>
      <c r="F609"/>
      <c r="G609"/>
      <c r="H609"/>
      <c r="I609"/>
      <c r="J609"/>
    </row>
    <row r="610" spans="1:14" hidden="1" x14ac:dyDescent="0.2">
      <c r="A610" s="592" t="s">
        <v>661</v>
      </c>
      <c r="B610" s="325" t="s">
        <v>0</v>
      </c>
      <c r="C610" s="593" t="s">
        <v>2</v>
      </c>
      <c r="D610" s="593" t="s">
        <v>3</v>
      </c>
      <c r="E610" s="593" t="s">
        <v>4</v>
      </c>
      <c r="F610" s="593" t="s">
        <v>5</v>
      </c>
      <c r="G610" s="593" t="s">
        <v>6</v>
      </c>
      <c r="H610" s="593" t="s">
        <v>163</v>
      </c>
      <c r="I610" s="596" t="s">
        <v>162</v>
      </c>
      <c r="J610" s="599">
        <v>5</v>
      </c>
      <c r="K610" s="403"/>
      <c r="L610" s="403"/>
    </row>
    <row r="611" spans="1:14" hidden="1" x14ac:dyDescent="0.2">
      <c r="A611" s="338" t="s">
        <v>167</v>
      </c>
      <c r="B611" s="315" t="s">
        <v>860</v>
      </c>
      <c r="C611" s="332">
        <f>+'Input Sheet'!D198</f>
        <v>0</v>
      </c>
      <c r="D611" s="332">
        <f>+'Input Sheet'!E198</f>
        <v>0</v>
      </c>
      <c r="E611" s="332">
        <f>+'Input Sheet'!F198</f>
        <v>0</v>
      </c>
      <c r="F611" s="332">
        <f>+'Input Sheet'!G198</f>
        <v>0</v>
      </c>
      <c r="G611" s="332">
        <f>+'Input Sheet'!H198</f>
        <v>0</v>
      </c>
      <c r="H611" s="332">
        <f>+'Input Sheet'!I198</f>
        <v>0</v>
      </c>
      <c r="I611" s="332">
        <f>+'Input Sheet'!J198</f>
        <v>0</v>
      </c>
      <c r="J611" s="600"/>
      <c r="K611" s="404"/>
      <c r="L611" s="404"/>
    </row>
    <row r="612" spans="1:14" hidden="1" x14ac:dyDescent="0.2">
      <c r="A612" s="316"/>
      <c r="B612" s="332" t="s">
        <v>861</v>
      </c>
      <c r="C612" s="339">
        <f t="shared" ref="C612:I612" si="345">+B69</f>
        <v>135</v>
      </c>
      <c r="D612" s="339">
        <f t="shared" si="345"/>
        <v>150</v>
      </c>
      <c r="E612" s="339">
        <f t="shared" si="345"/>
        <v>165</v>
      </c>
      <c r="F612" s="339">
        <f t="shared" si="345"/>
        <v>180</v>
      </c>
      <c r="G612" s="339">
        <f t="shared" si="345"/>
        <v>195</v>
      </c>
      <c r="H612" s="339">
        <f t="shared" si="345"/>
        <v>210</v>
      </c>
      <c r="I612" s="339">
        <f t="shared" si="345"/>
        <v>225</v>
      </c>
      <c r="J612" s="601"/>
      <c r="K612" s="405"/>
      <c r="L612" s="405"/>
    </row>
    <row r="613" spans="1:14" hidden="1" x14ac:dyDescent="0.2">
      <c r="A613" s="316"/>
      <c r="B613" s="332" t="s">
        <v>862</v>
      </c>
      <c r="C613" s="339">
        <f>+'Input Sheet'!D199</f>
        <v>0</v>
      </c>
      <c r="D613" s="339">
        <f>+'Input Sheet'!E199</f>
        <v>0</v>
      </c>
      <c r="E613" s="339">
        <f>+'Input Sheet'!F199</f>
        <v>0</v>
      </c>
      <c r="F613" s="339">
        <f>+'Input Sheet'!G199</f>
        <v>0</v>
      </c>
      <c r="G613" s="339">
        <f>+'Input Sheet'!H199</f>
        <v>0</v>
      </c>
      <c r="H613" s="339">
        <f>+'Input Sheet'!I199</f>
        <v>0</v>
      </c>
      <c r="I613" s="339">
        <f>+'Input Sheet'!J199</f>
        <v>0</v>
      </c>
      <c r="J613" s="601"/>
      <c r="K613" s="405"/>
      <c r="L613" s="405"/>
    </row>
    <row r="614" spans="1:14" hidden="1" x14ac:dyDescent="0.2">
      <c r="A614" s="316"/>
      <c r="B614" s="315" t="s">
        <v>124</v>
      </c>
      <c r="C614" s="340">
        <f>+C611*C612*C613/100000</f>
        <v>0</v>
      </c>
      <c r="D614" s="340">
        <f t="shared" ref="D614:I614" si="346">+D611*D612*D613/100000</f>
        <v>0</v>
      </c>
      <c r="E614" s="340">
        <f t="shared" si="346"/>
        <v>0</v>
      </c>
      <c r="F614" s="340">
        <f t="shared" si="346"/>
        <v>0</v>
      </c>
      <c r="G614" s="340">
        <f t="shared" si="346"/>
        <v>0</v>
      </c>
      <c r="H614" s="340">
        <f t="shared" si="346"/>
        <v>0</v>
      </c>
      <c r="I614" s="340">
        <f t="shared" si="346"/>
        <v>0</v>
      </c>
      <c r="J614" s="602"/>
      <c r="K614" s="407"/>
      <c r="L614" s="407"/>
    </row>
    <row r="615" spans="1:14" hidden="1" x14ac:dyDescent="0.2">
      <c r="A615" s="316"/>
      <c r="B615" s="315"/>
      <c r="C615" s="340"/>
      <c r="D615" s="340"/>
      <c r="E615" s="340"/>
      <c r="F615" s="340"/>
      <c r="G615" s="340"/>
      <c r="H615" s="340"/>
      <c r="I615" s="340"/>
      <c r="J615" s="602"/>
      <c r="K615" s="407"/>
      <c r="L615" s="407"/>
    </row>
    <row r="616" spans="1:14" hidden="1" x14ac:dyDescent="0.2">
      <c r="A616" s="338" t="s">
        <v>168</v>
      </c>
      <c r="B616" s="315" t="s">
        <v>863</v>
      </c>
      <c r="C616" s="332">
        <v>10</v>
      </c>
      <c r="D616" s="332">
        <f>+ROUND(C616*1.05,)</f>
        <v>11</v>
      </c>
      <c r="E616" s="332">
        <f t="shared" ref="E616:I616" si="347">+ROUND(D616*1.05,)</f>
        <v>12</v>
      </c>
      <c r="F616" s="332">
        <f t="shared" si="347"/>
        <v>13</v>
      </c>
      <c r="G616" s="332">
        <f t="shared" si="347"/>
        <v>14</v>
      </c>
      <c r="H616" s="332">
        <f t="shared" si="347"/>
        <v>15</v>
      </c>
      <c r="I616" s="332">
        <f t="shared" si="347"/>
        <v>16</v>
      </c>
      <c r="J616" s="600"/>
      <c r="K616" s="404"/>
      <c r="L616" s="404"/>
    </row>
    <row r="617" spans="1:14" hidden="1" x14ac:dyDescent="0.2">
      <c r="A617" s="316"/>
      <c r="B617" s="332" t="s">
        <v>861</v>
      </c>
      <c r="C617" s="339">
        <f>+C612</f>
        <v>135</v>
      </c>
      <c r="D617" s="339">
        <f t="shared" ref="D617:I617" si="348">+D612</f>
        <v>150</v>
      </c>
      <c r="E617" s="339">
        <f t="shared" si="348"/>
        <v>165</v>
      </c>
      <c r="F617" s="339">
        <f t="shared" si="348"/>
        <v>180</v>
      </c>
      <c r="G617" s="339">
        <f t="shared" si="348"/>
        <v>195</v>
      </c>
      <c r="H617" s="339">
        <f t="shared" si="348"/>
        <v>210</v>
      </c>
      <c r="I617" s="339">
        <f t="shared" si="348"/>
        <v>225</v>
      </c>
      <c r="J617" s="601"/>
      <c r="K617" s="405"/>
      <c r="L617" s="405"/>
    </row>
    <row r="618" spans="1:14" hidden="1" x14ac:dyDescent="0.2">
      <c r="A618" s="316"/>
      <c r="B618" s="332" t="s">
        <v>862</v>
      </c>
      <c r="C618" s="339">
        <f>+'Input Sheet'!D202</f>
        <v>0</v>
      </c>
      <c r="D618" s="339">
        <f>+'Input Sheet'!E202</f>
        <v>0</v>
      </c>
      <c r="E618" s="339">
        <f>+'Input Sheet'!F202</f>
        <v>0</v>
      </c>
      <c r="F618" s="339">
        <f>+'Input Sheet'!G202</f>
        <v>0</v>
      </c>
      <c r="G618" s="339">
        <f>+'Input Sheet'!H202</f>
        <v>0</v>
      </c>
      <c r="H618" s="339">
        <f>+'Input Sheet'!I202</f>
        <v>0</v>
      </c>
      <c r="I618" s="339">
        <f>+'Input Sheet'!J202</f>
        <v>0</v>
      </c>
      <c r="J618" s="601"/>
      <c r="K618" s="405"/>
      <c r="L618" s="405"/>
    </row>
    <row r="619" spans="1:14" hidden="1" x14ac:dyDescent="0.2">
      <c r="A619" s="316"/>
      <c r="B619" s="315" t="s">
        <v>124</v>
      </c>
      <c r="C619" s="340">
        <f>+C616*C617*C618/100000</f>
        <v>0</v>
      </c>
      <c r="D619" s="340">
        <f t="shared" ref="D619:I619" si="349">+D616*D617*D618/100000</f>
        <v>0</v>
      </c>
      <c r="E619" s="340">
        <f t="shared" si="349"/>
        <v>0</v>
      </c>
      <c r="F619" s="340">
        <f t="shared" si="349"/>
        <v>0</v>
      </c>
      <c r="G619" s="340">
        <f t="shared" si="349"/>
        <v>0</v>
      </c>
      <c r="H619" s="340">
        <f t="shared" si="349"/>
        <v>0</v>
      </c>
      <c r="I619" s="340">
        <f t="shared" si="349"/>
        <v>0</v>
      </c>
      <c r="J619" s="602"/>
      <c r="K619" s="407"/>
      <c r="L619" s="407"/>
    </row>
    <row r="620" spans="1:14" hidden="1" x14ac:dyDescent="0.2">
      <c r="A620" s="10"/>
      <c r="B620" s="10"/>
      <c r="C620" s="10"/>
      <c r="D620" s="10"/>
      <c r="E620" s="10"/>
      <c r="F620" s="10"/>
      <c r="G620" s="10"/>
      <c r="H620" s="10"/>
      <c r="I620" s="10"/>
      <c r="J620" s="452"/>
      <c r="K620" s="254"/>
      <c r="L620" s="254"/>
    </row>
    <row r="621" spans="1:14" hidden="1" x14ac:dyDescent="0.2">
      <c r="A621" s="10"/>
      <c r="B621" s="2" t="s">
        <v>864</v>
      </c>
      <c r="C621" s="594">
        <f>+C614+C619</f>
        <v>0</v>
      </c>
      <c r="D621" s="594">
        <f t="shared" ref="D621:I621" si="350">+D614+D619</f>
        <v>0</v>
      </c>
      <c r="E621" s="594">
        <f t="shared" si="350"/>
        <v>0</v>
      </c>
      <c r="F621" s="594">
        <f t="shared" si="350"/>
        <v>0</v>
      </c>
      <c r="G621" s="594">
        <f t="shared" si="350"/>
        <v>0</v>
      </c>
      <c r="H621" s="594">
        <f t="shared" si="350"/>
        <v>0</v>
      </c>
      <c r="I621" s="594">
        <f t="shared" si="350"/>
        <v>0</v>
      </c>
      <c r="J621" s="603"/>
      <c r="K621" s="598"/>
      <c r="L621" s="598"/>
    </row>
    <row r="623" spans="1:14" ht="25.5" x14ac:dyDescent="0.35">
      <c r="A623" s="785" t="s">
        <v>906</v>
      </c>
      <c r="B623" s="785"/>
      <c r="C623" s="785"/>
    </row>
    <row r="624" spans="1:14" x14ac:dyDescent="0.2">
      <c r="A624" s="545" t="s">
        <v>0</v>
      </c>
      <c r="B624" s="545" t="s">
        <v>908</v>
      </c>
      <c r="C624" s="545" t="s">
        <v>909</v>
      </c>
      <c r="D624" s="546" t="s">
        <v>2</v>
      </c>
      <c r="E624" s="546" t="s">
        <v>3</v>
      </c>
      <c r="F624" s="547" t="s">
        <v>4</v>
      </c>
      <c r="G624" s="547" t="s">
        <v>5</v>
      </c>
      <c r="H624" s="547" t="s">
        <v>6</v>
      </c>
      <c r="I624" s="547" t="s">
        <v>163</v>
      </c>
      <c r="J624" s="547" t="s">
        <v>162</v>
      </c>
      <c r="K624" s="365"/>
      <c r="L624" s="365"/>
      <c r="M624" s="548" t="s">
        <v>917</v>
      </c>
      <c r="N624" s="548" t="s">
        <v>918</v>
      </c>
    </row>
    <row r="625" spans="1:12" x14ac:dyDescent="0.2">
      <c r="A625" s="10" t="s">
        <v>907</v>
      </c>
      <c r="B625" s="10" t="s">
        <v>288</v>
      </c>
      <c r="C625" s="10"/>
      <c r="D625" s="612">
        <f t="shared" ref="D625:J625" si="351">+B50+B45+B40</f>
        <v>81</v>
      </c>
      <c r="E625" s="612">
        <f t="shared" si="351"/>
        <v>90</v>
      </c>
      <c r="F625" s="612">
        <f t="shared" si="351"/>
        <v>99</v>
      </c>
      <c r="G625" s="612">
        <f t="shared" si="351"/>
        <v>109</v>
      </c>
      <c r="H625" s="612">
        <f t="shared" si="351"/>
        <v>117</v>
      </c>
      <c r="I625" s="612">
        <f t="shared" si="351"/>
        <v>126</v>
      </c>
      <c r="J625" s="612">
        <f t="shared" si="351"/>
        <v>136</v>
      </c>
      <c r="K625" s="365"/>
      <c r="L625" s="365"/>
    </row>
    <row r="626" spans="1:12" x14ac:dyDescent="0.2">
      <c r="A626" s="10" t="str">
        <f>+$A$40</f>
        <v>Flax Oil</v>
      </c>
      <c r="B626" s="10" t="s">
        <v>288</v>
      </c>
      <c r="C626" s="10"/>
      <c r="D626" s="612">
        <f t="shared" ref="D626:J626" si="352">+B40</f>
        <v>16</v>
      </c>
      <c r="E626" s="612">
        <f t="shared" si="352"/>
        <v>18</v>
      </c>
      <c r="F626" s="612">
        <f t="shared" si="352"/>
        <v>20</v>
      </c>
      <c r="G626" s="612">
        <f t="shared" si="352"/>
        <v>22</v>
      </c>
      <c r="H626" s="612">
        <f t="shared" si="352"/>
        <v>23</v>
      </c>
      <c r="I626" s="612">
        <f t="shared" si="352"/>
        <v>25</v>
      </c>
      <c r="J626" s="612">
        <f t="shared" si="352"/>
        <v>27</v>
      </c>
      <c r="K626" s="365">
        <f>+D626*1000</f>
        <v>16000</v>
      </c>
      <c r="L626" s="365">
        <f>+K626/0.9</f>
        <v>17777.777777777777</v>
      </c>
    </row>
    <row r="627" spans="1:12" x14ac:dyDescent="0.2">
      <c r="A627" s="10" t="str">
        <f>+$A$45</f>
        <v>Safflower Oil</v>
      </c>
      <c r="B627" s="10" t="s">
        <v>288</v>
      </c>
      <c r="C627" s="10"/>
      <c r="D627" s="612">
        <f t="shared" ref="D627:J627" si="353">+B45</f>
        <v>8</v>
      </c>
      <c r="E627" s="612">
        <f t="shared" si="353"/>
        <v>9</v>
      </c>
      <c r="F627" s="612">
        <f t="shared" si="353"/>
        <v>10</v>
      </c>
      <c r="G627" s="612">
        <f t="shared" si="353"/>
        <v>11</v>
      </c>
      <c r="H627" s="612">
        <f t="shared" si="353"/>
        <v>12</v>
      </c>
      <c r="I627" s="612">
        <f t="shared" si="353"/>
        <v>13</v>
      </c>
      <c r="J627" s="612">
        <f t="shared" si="353"/>
        <v>14</v>
      </c>
      <c r="K627" s="365">
        <f>+D627*1000</f>
        <v>8000</v>
      </c>
      <c r="L627" s="365">
        <f>+K627/0.9</f>
        <v>8888.8888888888887</v>
      </c>
    </row>
    <row r="628" spans="1:12" x14ac:dyDescent="0.2">
      <c r="A628" s="10" t="str">
        <f>+$A$50</f>
        <v>Mustard  Oil</v>
      </c>
      <c r="B628" s="10" t="s">
        <v>288</v>
      </c>
      <c r="C628" s="10"/>
      <c r="D628" s="612">
        <f t="shared" ref="D628:J628" si="354">+B50</f>
        <v>57</v>
      </c>
      <c r="E628" s="612">
        <f t="shared" si="354"/>
        <v>63</v>
      </c>
      <c r="F628" s="612">
        <f t="shared" si="354"/>
        <v>69</v>
      </c>
      <c r="G628" s="612">
        <f t="shared" si="354"/>
        <v>76</v>
      </c>
      <c r="H628" s="612">
        <f t="shared" si="354"/>
        <v>82</v>
      </c>
      <c r="I628" s="612">
        <f t="shared" si="354"/>
        <v>88</v>
      </c>
      <c r="J628" s="612">
        <f t="shared" si="354"/>
        <v>95</v>
      </c>
      <c r="K628" s="365">
        <f>+D628*1000</f>
        <v>57000</v>
      </c>
      <c r="L628" s="365">
        <f>+K628/0.9</f>
        <v>63333.333333333328</v>
      </c>
    </row>
    <row r="629" spans="1:12" x14ac:dyDescent="0.2">
      <c r="A629" s="10"/>
      <c r="B629" s="10"/>
      <c r="C629" s="10"/>
      <c r="D629" s="612"/>
      <c r="E629" s="612"/>
      <c r="F629" s="612"/>
      <c r="G629" s="612"/>
      <c r="H629" s="612"/>
      <c r="I629" s="612"/>
      <c r="J629" s="612"/>
      <c r="K629" s="365"/>
      <c r="L629" s="365"/>
    </row>
    <row r="630" spans="1:12" x14ac:dyDescent="0.2">
      <c r="A630" s="2" t="s">
        <v>931</v>
      </c>
      <c r="B630" s="2" t="s">
        <v>288</v>
      </c>
      <c r="C630" s="632">
        <v>0.7</v>
      </c>
      <c r="D630" s="2">
        <f t="shared" ref="D630:J630" si="355">+D625*$C$630</f>
        <v>56.699999999999996</v>
      </c>
      <c r="E630" s="2">
        <f t="shared" si="355"/>
        <v>62.999999999999993</v>
      </c>
      <c r="F630" s="2">
        <f t="shared" si="355"/>
        <v>69.3</v>
      </c>
      <c r="G630" s="2">
        <f t="shared" si="355"/>
        <v>76.3</v>
      </c>
      <c r="H630" s="2">
        <f t="shared" si="355"/>
        <v>81.899999999999991</v>
      </c>
      <c r="I630" s="2">
        <f t="shared" si="355"/>
        <v>88.199999999999989</v>
      </c>
      <c r="J630" s="2">
        <f t="shared" si="355"/>
        <v>95.199999999999989</v>
      </c>
      <c r="K630" s="365"/>
      <c r="L630" s="365"/>
    </row>
    <row r="631" spans="1:12" x14ac:dyDescent="0.2">
      <c r="A631" s="10" t="str">
        <f>+$A$40</f>
        <v>Flax Oil</v>
      </c>
      <c r="B631" s="10" t="s">
        <v>288</v>
      </c>
      <c r="C631" s="277">
        <v>0.7</v>
      </c>
      <c r="D631" s="10">
        <f>+$C$631*D626</f>
        <v>11.2</v>
      </c>
      <c r="E631" s="10">
        <f t="shared" ref="E631:J631" si="356">+$C$631*E626</f>
        <v>12.6</v>
      </c>
      <c r="F631" s="10">
        <f t="shared" si="356"/>
        <v>14</v>
      </c>
      <c r="G631" s="10">
        <f t="shared" si="356"/>
        <v>15.399999999999999</v>
      </c>
      <c r="H631" s="10">
        <f t="shared" si="356"/>
        <v>16.099999999999998</v>
      </c>
      <c r="I631" s="10">
        <f t="shared" si="356"/>
        <v>17.5</v>
      </c>
      <c r="J631" s="10">
        <f t="shared" si="356"/>
        <v>18.899999999999999</v>
      </c>
      <c r="K631" s="365"/>
      <c r="L631" s="365"/>
    </row>
    <row r="632" spans="1:12" x14ac:dyDescent="0.2">
      <c r="A632" s="10" t="str">
        <f>+$A$45</f>
        <v>Safflower Oil</v>
      </c>
      <c r="B632" s="10" t="s">
        <v>288</v>
      </c>
      <c r="C632" s="277">
        <v>0.7</v>
      </c>
      <c r="D632" s="10">
        <f>+$C$632*D627</f>
        <v>5.6</v>
      </c>
      <c r="E632" s="10">
        <f t="shared" ref="E632:J632" si="357">+$C$632*E627</f>
        <v>6.3</v>
      </c>
      <c r="F632" s="10">
        <f t="shared" si="357"/>
        <v>7</v>
      </c>
      <c r="G632" s="10">
        <f t="shared" si="357"/>
        <v>7.6999999999999993</v>
      </c>
      <c r="H632" s="10">
        <f t="shared" si="357"/>
        <v>8.3999999999999986</v>
      </c>
      <c r="I632" s="10">
        <f t="shared" si="357"/>
        <v>9.1</v>
      </c>
      <c r="J632" s="10">
        <f t="shared" si="357"/>
        <v>9.7999999999999989</v>
      </c>
      <c r="K632" s="365"/>
      <c r="L632" s="365"/>
    </row>
    <row r="633" spans="1:12" x14ac:dyDescent="0.2">
      <c r="A633" s="10" t="str">
        <f>+$A$50</f>
        <v>Mustard  Oil</v>
      </c>
      <c r="B633" s="10" t="s">
        <v>288</v>
      </c>
      <c r="C633" s="277">
        <v>0.7</v>
      </c>
      <c r="D633" s="10">
        <f>+$C$633*D628</f>
        <v>39.9</v>
      </c>
      <c r="E633" s="10">
        <f t="shared" ref="E633:J633" si="358">+$C$633*E628</f>
        <v>44.099999999999994</v>
      </c>
      <c r="F633" s="10">
        <f t="shared" si="358"/>
        <v>48.3</v>
      </c>
      <c r="G633" s="10">
        <f t="shared" si="358"/>
        <v>53.199999999999996</v>
      </c>
      <c r="H633" s="10">
        <f t="shared" si="358"/>
        <v>57.4</v>
      </c>
      <c r="I633" s="10">
        <f t="shared" si="358"/>
        <v>61.599999999999994</v>
      </c>
      <c r="J633" s="10">
        <f t="shared" si="358"/>
        <v>66.5</v>
      </c>
      <c r="K633" s="365"/>
      <c r="L633" s="365"/>
    </row>
    <row r="634" spans="1:12" x14ac:dyDescent="0.2">
      <c r="A634" s="2" t="s">
        <v>932</v>
      </c>
      <c r="B634" s="2" t="s">
        <v>288</v>
      </c>
      <c r="C634" s="632">
        <v>0.3</v>
      </c>
      <c r="D634" s="2">
        <f t="shared" ref="D634:J634" si="359">+D625*$C$634</f>
        <v>24.3</v>
      </c>
      <c r="E634" s="2">
        <f t="shared" si="359"/>
        <v>27</v>
      </c>
      <c r="F634" s="2">
        <f t="shared" si="359"/>
        <v>29.7</v>
      </c>
      <c r="G634" s="2">
        <f t="shared" si="359"/>
        <v>32.699999999999996</v>
      </c>
      <c r="H634" s="2">
        <f t="shared" si="359"/>
        <v>35.1</v>
      </c>
      <c r="I634" s="2">
        <f t="shared" si="359"/>
        <v>37.799999999999997</v>
      </c>
      <c r="J634" s="2">
        <f t="shared" si="359"/>
        <v>40.799999999999997</v>
      </c>
      <c r="K634" s="365"/>
      <c r="L634" s="365"/>
    </row>
    <row r="635" spans="1:12" x14ac:dyDescent="0.2">
      <c r="A635" s="10" t="str">
        <f>+$A$40</f>
        <v>Flax Oil</v>
      </c>
      <c r="B635" s="10" t="s">
        <v>288</v>
      </c>
      <c r="C635" s="277">
        <v>0.3</v>
      </c>
      <c r="D635" s="10">
        <f>+D626*$C$635</f>
        <v>4.8</v>
      </c>
      <c r="E635" s="10">
        <f t="shared" ref="E635:J635" si="360">+E626*$C$635</f>
        <v>5.3999999999999995</v>
      </c>
      <c r="F635" s="10">
        <f t="shared" si="360"/>
        <v>6</v>
      </c>
      <c r="G635" s="10">
        <f t="shared" si="360"/>
        <v>6.6</v>
      </c>
      <c r="H635" s="10">
        <f t="shared" si="360"/>
        <v>6.8999999999999995</v>
      </c>
      <c r="I635" s="10">
        <f t="shared" si="360"/>
        <v>7.5</v>
      </c>
      <c r="J635" s="10">
        <f t="shared" si="360"/>
        <v>8.1</v>
      </c>
      <c r="K635" s="365"/>
      <c r="L635" s="365"/>
    </row>
    <row r="636" spans="1:12" x14ac:dyDescent="0.2">
      <c r="A636" s="10" t="str">
        <f>+$A$45</f>
        <v>Safflower Oil</v>
      </c>
      <c r="B636" s="10" t="s">
        <v>288</v>
      </c>
      <c r="C636" s="277">
        <v>0.3</v>
      </c>
      <c r="D636" s="10">
        <f>+D627*$C$636</f>
        <v>2.4</v>
      </c>
      <c r="E636" s="10">
        <f t="shared" ref="E636:J636" si="361">+E627*$C$636</f>
        <v>2.6999999999999997</v>
      </c>
      <c r="F636" s="10">
        <f t="shared" si="361"/>
        <v>3</v>
      </c>
      <c r="G636" s="10">
        <f t="shared" si="361"/>
        <v>3.3</v>
      </c>
      <c r="H636" s="10">
        <f t="shared" si="361"/>
        <v>3.5999999999999996</v>
      </c>
      <c r="I636" s="10">
        <f t="shared" si="361"/>
        <v>3.9</v>
      </c>
      <c r="J636" s="10">
        <f t="shared" si="361"/>
        <v>4.2</v>
      </c>
      <c r="K636" s="365"/>
      <c r="L636" s="365"/>
    </row>
    <row r="637" spans="1:12" x14ac:dyDescent="0.2">
      <c r="A637" s="10" t="str">
        <f>+$A$50</f>
        <v>Mustard  Oil</v>
      </c>
      <c r="B637" s="10" t="s">
        <v>288</v>
      </c>
      <c r="C637" s="277">
        <v>0.3</v>
      </c>
      <c r="D637" s="10">
        <f>+$C$637*D628</f>
        <v>17.099999999999998</v>
      </c>
      <c r="E637" s="10">
        <f t="shared" ref="E637:J637" si="362">+$C$637*E628</f>
        <v>18.899999999999999</v>
      </c>
      <c r="F637" s="10">
        <f t="shared" si="362"/>
        <v>20.7</v>
      </c>
      <c r="G637" s="10">
        <f t="shared" si="362"/>
        <v>22.8</v>
      </c>
      <c r="H637" s="10">
        <f t="shared" si="362"/>
        <v>24.599999999999998</v>
      </c>
      <c r="I637" s="10">
        <f t="shared" si="362"/>
        <v>26.4</v>
      </c>
      <c r="J637" s="10">
        <f t="shared" si="362"/>
        <v>28.5</v>
      </c>
      <c r="K637" s="365"/>
      <c r="L637" s="365"/>
    </row>
    <row r="638" spans="1:12" x14ac:dyDescent="0.2">
      <c r="C638" s="4"/>
      <c r="D638"/>
      <c r="E638"/>
      <c r="F638"/>
      <c r="G638"/>
      <c r="H638"/>
      <c r="I638"/>
      <c r="J638"/>
      <c r="K638" s="365"/>
      <c r="L638" s="365"/>
    </row>
    <row r="639" spans="1:12" x14ac:dyDescent="0.2">
      <c r="C639" s="4"/>
      <c r="D639"/>
      <c r="E639"/>
      <c r="F639"/>
      <c r="G639"/>
      <c r="H639"/>
      <c r="I639"/>
      <c r="J639"/>
      <c r="K639" s="365"/>
      <c r="L639" s="365"/>
    </row>
    <row r="640" spans="1:12" x14ac:dyDescent="0.2">
      <c r="A640" s="2" t="s">
        <v>921</v>
      </c>
      <c r="B640" s="10" t="s">
        <v>922</v>
      </c>
      <c r="C640" s="10"/>
      <c r="D640" s="10"/>
      <c r="E640" s="10"/>
      <c r="F640" s="426"/>
      <c r="G640" s="426"/>
      <c r="H640" s="426"/>
      <c r="I640" s="426"/>
      <c r="J640" s="426"/>
      <c r="K640" s="365"/>
      <c r="L640" s="365"/>
    </row>
    <row r="641" spans="1:13" s="622" customFormat="1" x14ac:dyDescent="0.2">
      <c r="A641" s="533" t="str">
        <f>+$A$40</f>
        <v>Flax Oil</v>
      </c>
      <c r="B641" s="533"/>
      <c r="C641" s="533" t="s">
        <v>916</v>
      </c>
      <c r="D641" s="533">
        <f>+D631/0.9*1000</f>
        <v>12444.444444444443</v>
      </c>
      <c r="E641" s="533">
        <f t="shared" ref="E641:J641" si="363">+E631/0.9*1000</f>
        <v>14000</v>
      </c>
      <c r="F641" s="533">
        <f t="shared" si="363"/>
        <v>15555.555555555555</v>
      </c>
      <c r="G641" s="533">
        <f t="shared" si="363"/>
        <v>17111.111111111109</v>
      </c>
      <c r="H641" s="533">
        <f t="shared" si="363"/>
        <v>17888.888888888887</v>
      </c>
      <c r="I641" s="533">
        <f t="shared" si="363"/>
        <v>19444.444444444442</v>
      </c>
      <c r="J641" s="533">
        <f t="shared" si="363"/>
        <v>20999.999999999996</v>
      </c>
    </row>
    <row r="642" spans="1:13" s="622" customFormat="1" x14ac:dyDescent="0.2">
      <c r="A642" s="533" t="str">
        <f>+$A$45</f>
        <v>Safflower Oil</v>
      </c>
      <c r="B642" s="533"/>
      <c r="C642" s="533" t="s">
        <v>916</v>
      </c>
      <c r="D642" s="533">
        <f t="shared" ref="D642:J642" si="364">+D632/0.9*1000</f>
        <v>6222.2222222222217</v>
      </c>
      <c r="E642" s="533">
        <f t="shared" si="364"/>
        <v>7000</v>
      </c>
      <c r="F642" s="533">
        <f t="shared" si="364"/>
        <v>7777.7777777777774</v>
      </c>
      <c r="G642" s="533">
        <f t="shared" si="364"/>
        <v>8555.5555555555547</v>
      </c>
      <c r="H642" s="533">
        <f t="shared" si="364"/>
        <v>9333.3333333333321</v>
      </c>
      <c r="I642" s="533">
        <f t="shared" si="364"/>
        <v>10111.111111111111</v>
      </c>
      <c r="J642" s="533">
        <f t="shared" si="364"/>
        <v>10888.888888888887</v>
      </c>
    </row>
    <row r="643" spans="1:13" s="622" customFormat="1" x14ac:dyDescent="0.2">
      <c r="A643" s="533" t="str">
        <f>+$A$50</f>
        <v>Mustard  Oil</v>
      </c>
      <c r="B643" s="533"/>
      <c r="C643" s="533" t="s">
        <v>916</v>
      </c>
      <c r="D643" s="533">
        <f t="shared" ref="D643:J643" si="365">+D633/0.9*1000</f>
        <v>44333.333333333328</v>
      </c>
      <c r="E643" s="533">
        <f t="shared" si="365"/>
        <v>48999.999999999993</v>
      </c>
      <c r="F643" s="533">
        <f t="shared" si="365"/>
        <v>53666.666666666664</v>
      </c>
      <c r="G643" s="533">
        <f t="shared" si="365"/>
        <v>59111.111111111109</v>
      </c>
      <c r="H643" s="533">
        <f t="shared" si="365"/>
        <v>63777.777777777774</v>
      </c>
      <c r="I643" s="533">
        <f t="shared" si="365"/>
        <v>68444.444444444438</v>
      </c>
      <c r="J643" s="533">
        <f t="shared" si="365"/>
        <v>73888.888888888891</v>
      </c>
    </row>
    <row r="644" spans="1:13" x14ac:dyDescent="0.2">
      <c r="A644" s="2"/>
      <c r="B644" s="10"/>
      <c r="C644" s="10"/>
      <c r="D644" s="426">
        <f>SUM(D641:D643)</f>
        <v>62999.999999999993</v>
      </c>
      <c r="E644" s="426">
        <f t="shared" ref="E644:J644" si="366">SUM(E641:E643)</f>
        <v>70000</v>
      </c>
      <c r="F644" s="426">
        <f t="shared" si="366"/>
        <v>77000</v>
      </c>
      <c r="G644" s="426">
        <f t="shared" si="366"/>
        <v>84777.777777777781</v>
      </c>
      <c r="H644" s="426">
        <f t="shared" si="366"/>
        <v>91000</v>
      </c>
      <c r="I644" s="426">
        <f t="shared" si="366"/>
        <v>98000</v>
      </c>
      <c r="J644" s="426">
        <f t="shared" si="366"/>
        <v>105777.77777777778</v>
      </c>
      <c r="K644" s="365"/>
      <c r="L644" s="365"/>
    </row>
    <row r="645" spans="1:13" x14ac:dyDescent="0.2">
      <c r="A645" s="2"/>
      <c r="B645" s="10"/>
      <c r="C645" s="10"/>
      <c r="D645" s="10"/>
      <c r="E645" s="10"/>
      <c r="F645" s="426"/>
      <c r="G645" s="426"/>
      <c r="H645" s="426"/>
      <c r="I645" s="426"/>
      <c r="J645" s="426"/>
      <c r="K645" s="365"/>
      <c r="L645" s="365"/>
    </row>
    <row r="646" spans="1:13" x14ac:dyDescent="0.2">
      <c r="A646" s="2" t="s">
        <v>923</v>
      </c>
      <c r="B646" s="10"/>
      <c r="C646" s="10"/>
      <c r="D646" s="10"/>
      <c r="E646" s="10"/>
      <c r="F646" s="426"/>
      <c r="G646" s="426"/>
      <c r="H646" s="426"/>
      <c r="I646" s="426"/>
      <c r="J646" s="426"/>
      <c r="K646" s="365"/>
      <c r="L646" s="365"/>
    </row>
    <row r="647" spans="1:13" s="1" customFormat="1" x14ac:dyDescent="0.2">
      <c r="A647" s="633" t="s">
        <v>920</v>
      </c>
      <c r="B647" s="10" t="s">
        <v>916</v>
      </c>
      <c r="C647" s="634">
        <v>0.55000000000000004</v>
      </c>
      <c r="D647" s="633">
        <f>+D644*$C$647</f>
        <v>34650</v>
      </c>
      <c r="E647" s="633">
        <f t="shared" ref="E647:J647" si="367">+E644*$C$647</f>
        <v>38500</v>
      </c>
      <c r="F647" s="633">
        <f t="shared" si="367"/>
        <v>42350</v>
      </c>
      <c r="G647" s="633">
        <f t="shared" si="367"/>
        <v>46627.777777777781</v>
      </c>
      <c r="H647" s="633">
        <f t="shared" si="367"/>
        <v>50050.000000000007</v>
      </c>
      <c r="I647" s="633">
        <f t="shared" si="367"/>
        <v>53900.000000000007</v>
      </c>
      <c r="J647" s="633">
        <f t="shared" si="367"/>
        <v>58177.777777777781</v>
      </c>
    </row>
    <row r="648" spans="1:13" s="1" customFormat="1" x14ac:dyDescent="0.2">
      <c r="A648" s="10" t="str">
        <f>+$A$40</f>
        <v>Flax Oil</v>
      </c>
      <c r="B648" s="10" t="s">
        <v>916</v>
      </c>
      <c r="C648" s="634">
        <v>0.55000000000000004</v>
      </c>
      <c r="D648" s="633">
        <f>+D641*$C$648</f>
        <v>6844.4444444444443</v>
      </c>
      <c r="E648" s="633">
        <f t="shared" ref="E648:J648" si="368">+E641*$C$648</f>
        <v>7700.0000000000009</v>
      </c>
      <c r="F648" s="633">
        <f t="shared" si="368"/>
        <v>8555.5555555555566</v>
      </c>
      <c r="G648" s="633">
        <f t="shared" si="368"/>
        <v>9411.1111111111113</v>
      </c>
      <c r="H648" s="633">
        <f t="shared" si="368"/>
        <v>9838.8888888888887</v>
      </c>
      <c r="I648" s="633">
        <f t="shared" si="368"/>
        <v>10694.444444444443</v>
      </c>
      <c r="J648" s="633">
        <f t="shared" si="368"/>
        <v>11549.999999999998</v>
      </c>
    </row>
    <row r="649" spans="1:13" s="1" customFormat="1" x14ac:dyDescent="0.2">
      <c r="A649" s="10" t="str">
        <f>+$A$45</f>
        <v>Safflower Oil</v>
      </c>
      <c r="B649" s="10" t="s">
        <v>916</v>
      </c>
      <c r="C649" s="634">
        <v>0.55000000000000004</v>
      </c>
      <c r="D649" s="633">
        <f>+D642*$C$649</f>
        <v>3422.2222222222222</v>
      </c>
      <c r="E649" s="633">
        <f t="shared" ref="E649:J649" si="369">+E642*$C$649</f>
        <v>3850.0000000000005</v>
      </c>
      <c r="F649" s="633">
        <f t="shared" si="369"/>
        <v>4277.7777777777783</v>
      </c>
      <c r="G649" s="633">
        <f t="shared" si="369"/>
        <v>4705.5555555555557</v>
      </c>
      <c r="H649" s="633">
        <f t="shared" si="369"/>
        <v>5133.333333333333</v>
      </c>
      <c r="I649" s="633">
        <f t="shared" si="369"/>
        <v>5561.1111111111113</v>
      </c>
      <c r="J649" s="633">
        <f t="shared" si="369"/>
        <v>5988.8888888888887</v>
      </c>
    </row>
    <row r="650" spans="1:13" s="1" customFormat="1" x14ac:dyDescent="0.2">
      <c r="A650" s="10" t="str">
        <f>+$A$50</f>
        <v>Mustard  Oil</v>
      </c>
      <c r="B650" s="10" t="s">
        <v>916</v>
      </c>
      <c r="C650" s="634">
        <v>0.55000000000000004</v>
      </c>
      <c r="D650" s="633">
        <f>+D643*$C$650</f>
        <v>24383.333333333332</v>
      </c>
      <c r="E650" s="633">
        <f t="shared" ref="E650:J650" si="370">+E643*$C$650</f>
        <v>26949.999999999996</v>
      </c>
      <c r="F650" s="633">
        <f t="shared" si="370"/>
        <v>29516.666666666668</v>
      </c>
      <c r="G650" s="633">
        <f t="shared" si="370"/>
        <v>32511.111111111113</v>
      </c>
      <c r="H650" s="633">
        <f t="shared" si="370"/>
        <v>35077.777777777781</v>
      </c>
      <c r="I650" s="633">
        <f t="shared" si="370"/>
        <v>37644.444444444445</v>
      </c>
      <c r="J650" s="633">
        <f t="shared" si="370"/>
        <v>40638.888888888891</v>
      </c>
    </row>
    <row r="651" spans="1:13" s="1" customFormat="1" x14ac:dyDescent="0.2">
      <c r="A651" s="633"/>
      <c r="B651" s="633"/>
      <c r="C651" s="633"/>
      <c r="D651" s="633"/>
      <c r="E651" s="633"/>
      <c r="F651" s="633"/>
      <c r="G651" s="633"/>
      <c r="H651" s="633"/>
      <c r="I651" s="633"/>
      <c r="J651" s="633"/>
    </row>
    <row r="652" spans="1:13" x14ac:dyDescent="0.2">
      <c r="A652" s="10" t="s">
        <v>919</v>
      </c>
      <c r="B652" s="10" t="s">
        <v>916</v>
      </c>
      <c r="C652" s="277">
        <v>0.45</v>
      </c>
      <c r="D652" s="10">
        <f>+D644*$C$652/5</f>
        <v>5669.9999999999991</v>
      </c>
      <c r="E652" s="10">
        <f t="shared" ref="E652:J652" si="371">+E644*$C$652/5</f>
        <v>6300</v>
      </c>
      <c r="F652" s="10">
        <f t="shared" si="371"/>
        <v>6930</v>
      </c>
      <c r="G652" s="10">
        <f t="shared" si="371"/>
        <v>7630</v>
      </c>
      <c r="H652" s="10">
        <f t="shared" si="371"/>
        <v>8190</v>
      </c>
      <c r="I652" s="10">
        <f t="shared" si="371"/>
        <v>8820</v>
      </c>
      <c r="J652" s="10">
        <f t="shared" si="371"/>
        <v>9520</v>
      </c>
      <c r="K652" s="365">
        <f>+D652*5</f>
        <v>28349.999999999996</v>
      </c>
      <c r="L652" s="365"/>
      <c r="M652" s="365"/>
    </row>
    <row r="653" spans="1:13" x14ac:dyDescent="0.2">
      <c r="A653" s="10" t="str">
        <f>+$A$40</f>
        <v>Flax Oil</v>
      </c>
      <c r="B653" s="10" t="s">
        <v>916</v>
      </c>
      <c r="C653" s="277">
        <v>0.45</v>
      </c>
      <c r="D653" s="426">
        <f>+$C$653*D641/5</f>
        <v>1120</v>
      </c>
      <c r="E653" s="426">
        <f t="shared" ref="E653:J653" si="372">+$C$653*E641/5</f>
        <v>1260</v>
      </c>
      <c r="F653" s="426">
        <f t="shared" si="372"/>
        <v>1400</v>
      </c>
      <c r="G653" s="426">
        <f t="shared" si="372"/>
        <v>1539.9999999999998</v>
      </c>
      <c r="H653" s="426">
        <f t="shared" si="372"/>
        <v>1609.9999999999998</v>
      </c>
      <c r="I653" s="426">
        <f t="shared" si="372"/>
        <v>1749.9999999999995</v>
      </c>
      <c r="J653" s="426">
        <f t="shared" si="372"/>
        <v>1889.9999999999995</v>
      </c>
      <c r="K653" s="365"/>
      <c r="L653" s="365"/>
      <c r="M653" s="365"/>
    </row>
    <row r="654" spans="1:13" x14ac:dyDescent="0.2">
      <c r="A654" s="10" t="str">
        <f>+$A$45</f>
        <v>Safflower Oil</v>
      </c>
      <c r="B654" s="10" t="s">
        <v>916</v>
      </c>
      <c r="C654" s="277">
        <v>0.45</v>
      </c>
      <c r="D654" s="426">
        <f>+$C$654*D642/5</f>
        <v>560</v>
      </c>
      <c r="E654" s="426">
        <f t="shared" ref="E654:J654" si="373">+$C$654*E642/5</f>
        <v>630</v>
      </c>
      <c r="F654" s="426">
        <f t="shared" si="373"/>
        <v>700</v>
      </c>
      <c r="G654" s="426">
        <f t="shared" si="373"/>
        <v>769.99999999999989</v>
      </c>
      <c r="H654" s="426">
        <f t="shared" si="373"/>
        <v>840</v>
      </c>
      <c r="I654" s="426">
        <f t="shared" si="373"/>
        <v>910</v>
      </c>
      <c r="J654" s="426">
        <f t="shared" si="373"/>
        <v>979.99999999999977</v>
      </c>
      <c r="K654" s="365"/>
      <c r="L654" s="365"/>
      <c r="M654" s="365"/>
    </row>
    <row r="655" spans="1:13" x14ac:dyDescent="0.2">
      <c r="A655" s="10" t="str">
        <f>+$A$50</f>
        <v>Mustard  Oil</v>
      </c>
      <c r="B655" s="10" t="s">
        <v>916</v>
      </c>
      <c r="C655" s="277">
        <v>0.45</v>
      </c>
      <c r="D655" s="426">
        <f>+$C$655*D643/5</f>
        <v>3990</v>
      </c>
      <c r="E655" s="426">
        <f t="shared" ref="E655:J655" si="374">+$C$655*E643/5</f>
        <v>4409.9999999999991</v>
      </c>
      <c r="F655" s="426">
        <f t="shared" si="374"/>
        <v>4830</v>
      </c>
      <c r="G655" s="426">
        <f t="shared" si="374"/>
        <v>5320</v>
      </c>
      <c r="H655" s="426">
        <f t="shared" si="374"/>
        <v>5740</v>
      </c>
      <c r="I655" s="426">
        <f t="shared" si="374"/>
        <v>6159.9999999999991</v>
      </c>
      <c r="J655" s="426">
        <f t="shared" si="374"/>
        <v>6650</v>
      </c>
      <c r="K655" s="365"/>
      <c r="L655" s="365"/>
      <c r="M655" s="365"/>
    </row>
    <row r="656" spans="1:13" x14ac:dyDescent="0.2">
      <c r="C656" s="4"/>
      <c r="K656" s="365"/>
      <c r="L656" s="365"/>
      <c r="M656" s="365"/>
    </row>
    <row r="657" spans="1:12" x14ac:dyDescent="0.2">
      <c r="A657" s="2" t="s">
        <v>911</v>
      </c>
      <c r="B657" s="10"/>
      <c r="C657" s="10"/>
      <c r="D657" s="10"/>
      <c r="E657" s="10"/>
      <c r="F657" s="426"/>
      <c r="G657" s="426"/>
      <c r="H657" s="426"/>
      <c r="I657" s="426"/>
      <c r="J657" s="426"/>
      <c r="K657" s="365"/>
      <c r="L657" s="365"/>
    </row>
    <row r="658" spans="1:12" s="1" customFormat="1" x14ac:dyDescent="0.2">
      <c r="A658" s="633" t="s">
        <v>912</v>
      </c>
      <c r="B658" s="633" t="s">
        <v>910</v>
      </c>
      <c r="C658" s="633">
        <v>2.2000000000000002</v>
      </c>
      <c r="D658" s="633">
        <f t="shared" ref="D658:J658" si="375">+D647*$C658</f>
        <v>76230</v>
      </c>
      <c r="E658" s="633">
        <f t="shared" si="375"/>
        <v>84700</v>
      </c>
      <c r="F658" s="633">
        <f t="shared" si="375"/>
        <v>93170.000000000015</v>
      </c>
      <c r="G658" s="633">
        <f t="shared" si="375"/>
        <v>102581.11111111112</v>
      </c>
      <c r="H658" s="633">
        <f t="shared" si="375"/>
        <v>110110.00000000003</v>
      </c>
      <c r="I658" s="633">
        <f t="shared" si="375"/>
        <v>118580.00000000003</v>
      </c>
      <c r="J658" s="633">
        <f t="shared" si="375"/>
        <v>127991.11111111112</v>
      </c>
    </row>
    <row r="659" spans="1:12" x14ac:dyDescent="0.2">
      <c r="A659" s="10" t="s">
        <v>913</v>
      </c>
      <c r="B659" s="10" t="s">
        <v>910</v>
      </c>
      <c r="C659" s="10">
        <v>12</v>
      </c>
      <c r="D659" s="10">
        <f t="shared" ref="D659:J659" si="376">+D652*$C659</f>
        <v>68039.999999999985</v>
      </c>
      <c r="E659" s="10">
        <f t="shared" si="376"/>
        <v>75600</v>
      </c>
      <c r="F659" s="10">
        <f t="shared" si="376"/>
        <v>83160</v>
      </c>
      <c r="G659" s="10">
        <f t="shared" si="376"/>
        <v>91560</v>
      </c>
      <c r="H659" s="10">
        <f t="shared" si="376"/>
        <v>98280</v>
      </c>
      <c r="I659" s="10">
        <f t="shared" si="376"/>
        <v>105840</v>
      </c>
      <c r="J659" s="10">
        <f t="shared" si="376"/>
        <v>114240</v>
      </c>
      <c r="K659" s="365"/>
      <c r="L659" s="365"/>
    </row>
    <row r="660" spans="1:12" s="1" customFormat="1" x14ac:dyDescent="0.2">
      <c r="A660" s="633" t="s">
        <v>914</v>
      </c>
      <c r="B660" s="633" t="s">
        <v>910</v>
      </c>
      <c r="C660" s="633">
        <v>2</v>
      </c>
      <c r="D660" s="633">
        <f t="shared" ref="D660:J660" si="377">+$C660*D647</f>
        <v>69300</v>
      </c>
      <c r="E660" s="633">
        <f t="shared" si="377"/>
        <v>77000</v>
      </c>
      <c r="F660" s="633">
        <f t="shared" si="377"/>
        <v>84700</v>
      </c>
      <c r="G660" s="633">
        <f t="shared" si="377"/>
        <v>93255.555555555562</v>
      </c>
      <c r="H660" s="633">
        <f t="shared" si="377"/>
        <v>100100.00000000001</v>
      </c>
      <c r="I660" s="633">
        <f t="shared" si="377"/>
        <v>107800.00000000001</v>
      </c>
      <c r="J660" s="633">
        <f t="shared" si="377"/>
        <v>116355.55555555556</v>
      </c>
    </row>
    <row r="661" spans="1:12" x14ac:dyDescent="0.2">
      <c r="A661" s="10" t="s">
        <v>915</v>
      </c>
      <c r="B661" s="10" t="s">
        <v>910</v>
      </c>
      <c r="C661" s="10">
        <v>6.5</v>
      </c>
      <c r="D661" s="10">
        <f t="shared" ref="D661:J661" si="378">+$C661*D652</f>
        <v>36854.999999999993</v>
      </c>
      <c r="E661" s="10">
        <f t="shared" si="378"/>
        <v>40950</v>
      </c>
      <c r="F661" s="10">
        <f t="shared" si="378"/>
        <v>45045</v>
      </c>
      <c r="G661" s="10">
        <f t="shared" si="378"/>
        <v>49595</v>
      </c>
      <c r="H661" s="10">
        <f t="shared" si="378"/>
        <v>53235</v>
      </c>
      <c r="I661" s="10">
        <f t="shared" si="378"/>
        <v>57330</v>
      </c>
      <c r="J661" s="10">
        <f t="shared" si="378"/>
        <v>61880</v>
      </c>
      <c r="K661" s="365"/>
      <c r="L661" s="365"/>
    </row>
    <row r="662" spans="1:12" x14ac:dyDescent="0.2">
      <c r="A662" s="635" t="s">
        <v>1</v>
      </c>
      <c r="B662" s="635"/>
      <c r="C662" s="635"/>
      <c r="D662" s="635">
        <f>SUM(D658:D661)</f>
        <v>250425</v>
      </c>
      <c r="E662" s="635">
        <f t="shared" ref="E662:J662" si="379">SUM(E658:E661)</f>
        <v>278250</v>
      </c>
      <c r="F662" s="635">
        <f t="shared" si="379"/>
        <v>306075</v>
      </c>
      <c r="G662" s="635">
        <f t="shared" si="379"/>
        <v>336991.66666666669</v>
      </c>
      <c r="H662" s="635">
        <f t="shared" si="379"/>
        <v>361725.00000000006</v>
      </c>
      <c r="I662" s="635">
        <f t="shared" si="379"/>
        <v>389550.00000000006</v>
      </c>
      <c r="J662" s="635">
        <f t="shared" si="379"/>
        <v>420466.66666666669</v>
      </c>
      <c r="K662" s="365"/>
      <c r="L662" s="365"/>
    </row>
    <row r="664" spans="1:12" x14ac:dyDescent="0.2">
      <c r="A664" s="2" t="s">
        <v>933</v>
      </c>
      <c r="B664" s="10"/>
      <c r="C664" s="10"/>
      <c r="D664" s="426"/>
      <c r="E664" s="426"/>
      <c r="F664" s="426"/>
      <c r="G664" s="426"/>
      <c r="H664" s="426"/>
      <c r="I664" s="426"/>
      <c r="J664" s="426"/>
    </row>
    <row r="665" spans="1:12" x14ac:dyDescent="0.2">
      <c r="A665" s="533" t="str">
        <f>+$A$40</f>
        <v>Flax Oil</v>
      </c>
      <c r="B665" s="10" t="s">
        <v>916</v>
      </c>
      <c r="C665" s="10"/>
      <c r="D665" s="426">
        <f>+D635/0.9*1000</f>
        <v>5333.333333333333</v>
      </c>
      <c r="E665" s="426">
        <f t="shared" ref="E665:J665" si="380">+E635/0.9*1000</f>
        <v>5999.9999999999991</v>
      </c>
      <c r="F665" s="426">
        <f t="shared" si="380"/>
        <v>6666.6666666666661</v>
      </c>
      <c r="G665" s="426">
        <f t="shared" si="380"/>
        <v>7333.333333333333</v>
      </c>
      <c r="H665" s="426">
        <f t="shared" si="380"/>
        <v>7666.6666666666661</v>
      </c>
      <c r="I665" s="426">
        <f t="shared" si="380"/>
        <v>8333.3333333333339</v>
      </c>
      <c r="J665" s="426">
        <f t="shared" si="380"/>
        <v>9000</v>
      </c>
    </row>
    <row r="666" spans="1:12" x14ac:dyDescent="0.2">
      <c r="A666" s="533" t="str">
        <f>+$A$45</f>
        <v>Safflower Oil</v>
      </c>
      <c r="B666" s="10" t="s">
        <v>916</v>
      </c>
      <c r="C666" s="10"/>
      <c r="D666" s="426">
        <f>+D636/0.9*1000</f>
        <v>2666.6666666666665</v>
      </c>
      <c r="E666" s="426">
        <f t="shared" ref="E666:J666" si="381">+E636/0.9*1000</f>
        <v>2999.9999999999995</v>
      </c>
      <c r="F666" s="426">
        <f t="shared" si="381"/>
        <v>3333.333333333333</v>
      </c>
      <c r="G666" s="426">
        <f t="shared" si="381"/>
        <v>3666.6666666666665</v>
      </c>
      <c r="H666" s="426">
        <f t="shared" si="381"/>
        <v>3999.9999999999995</v>
      </c>
      <c r="I666" s="426">
        <f t="shared" si="381"/>
        <v>4333.333333333333</v>
      </c>
      <c r="J666" s="426">
        <f t="shared" si="381"/>
        <v>4666.666666666667</v>
      </c>
    </row>
    <row r="667" spans="1:12" x14ac:dyDescent="0.2">
      <c r="A667" s="533" t="str">
        <f>+$A$50</f>
        <v>Mustard  Oil</v>
      </c>
      <c r="B667" s="10" t="s">
        <v>916</v>
      </c>
      <c r="C667" s="10"/>
      <c r="D667" s="426">
        <f>+D637/0.9*1000</f>
        <v>18999.999999999996</v>
      </c>
      <c r="E667" s="426">
        <f t="shared" ref="E667:J667" si="382">+E637/0.9*1000</f>
        <v>20999.999999999996</v>
      </c>
      <c r="F667" s="426">
        <f t="shared" si="382"/>
        <v>23000</v>
      </c>
      <c r="G667" s="426">
        <f t="shared" si="382"/>
        <v>25333.333333333332</v>
      </c>
      <c r="H667" s="426">
        <f t="shared" si="382"/>
        <v>27333.333333333328</v>
      </c>
      <c r="I667" s="426">
        <f t="shared" si="382"/>
        <v>29333.333333333332</v>
      </c>
      <c r="J667" s="426">
        <f t="shared" si="382"/>
        <v>31666.666666666664</v>
      </c>
    </row>
    <row r="668" spans="1:12" x14ac:dyDescent="0.2">
      <c r="A668" s="10"/>
      <c r="B668" s="10"/>
      <c r="C668" s="10"/>
      <c r="D668" s="426">
        <f>SUM(D665:D667)</f>
        <v>26999.999999999996</v>
      </c>
      <c r="E668" s="426">
        <f t="shared" ref="E668:J668" si="383">SUM(E665:E667)</f>
        <v>29999.999999999993</v>
      </c>
      <c r="F668" s="426">
        <f t="shared" si="383"/>
        <v>33000</v>
      </c>
      <c r="G668" s="426">
        <f t="shared" si="383"/>
        <v>36333.333333333328</v>
      </c>
      <c r="H668" s="426">
        <f t="shared" si="383"/>
        <v>38999.999999999993</v>
      </c>
      <c r="I668" s="426">
        <f t="shared" si="383"/>
        <v>42000</v>
      </c>
      <c r="J668" s="426">
        <f t="shared" si="383"/>
        <v>45333.333333333328</v>
      </c>
    </row>
    <row r="669" spans="1:12" x14ac:dyDescent="0.2">
      <c r="A669" s="2" t="s">
        <v>928</v>
      </c>
      <c r="B669" s="10"/>
      <c r="C669" s="10"/>
      <c r="D669" s="426"/>
      <c r="E669" s="426"/>
      <c r="F669" s="426"/>
      <c r="G669" s="426"/>
      <c r="H669" s="426"/>
      <c r="I669" s="426"/>
      <c r="J669" s="426"/>
    </row>
    <row r="670" spans="1:12" x14ac:dyDescent="0.2">
      <c r="A670" s="633" t="s">
        <v>930</v>
      </c>
      <c r="B670" s="10" t="s">
        <v>910</v>
      </c>
      <c r="C670" s="277">
        <v>0.7</v>
      </c>
      <c r="D670" s="426">
        <f>+D668*$C$670</f>
        <v>18899.999999999996</v>
      </c>
      <c r="E670" s="426">
        <f t="shared" ref="E670:J670" si="384">+E668*$C$670</f>
        <v>20999.999999999993</v>
      </c>
      <c r="F670" s="426">
        <f t="shared" si="384"/>
        <v>23100</v>
      </c>
      <c r="G670" s="426">
        <f t="shared" si="384"/>
        <v>25433.333333333328</v>
      </c>
      <c r="H670" s="426">
        <f t="shared" si="384"/>
        <v>27299.999999999993</v>
      </c>
      <c r="I670" s="426">
        <f t="shared" si="384"/>
        <v>29399.999999999996</v>
      </c>
      <c r="J670" s="426">
        <f t="shared" si="384"/>
        <v>31733.333333333328</v>
      </c>
    </row>
    <row r="671" spans="1:12" x14ac:dyDescent="0.2">
      <c r="A671" s="10" t="str">
        <f>+$A$40</f>
        <v>Flax Oil</v>
      </c>
      <c r="B671" s="10" t="s">
        <v>910</v>
      </c>
      <c r="C671" s="277">
        <v>0.7</v>
      </c>
      <c r="D671" s="426">
        <f>+D665*$C671</f>
        <v>3733.333333333333</v>
      </c>
      <c r="E671" s="426">
        <f t="shared" ref="E671:J671" si="385">+E665*$C671</f>
        <v>4199.9999999999991</v>
      </c>
      <c r="F671" s="426">
        <f t="shared" si="385"/>
        <v>4666.6666666666661</v>
      </c>
      <c r="G671" s="426">
        <f t="shared" si="385"/>
        <v>5133.333333333333</v>
      </c>
      <c r="H671" s="426">
        <f t="shared" si="385"/>
        <v>5366.6666666666661</v>
      </c>
      <c r="I671" s="426">
        <f t="shared" si="385"/>
        <v>5833.333333333333</v>
      </c>
      <c r="J671" s="426">
        <f t="shared" si="385"/>
        <v>6300</v>
      </c>
    </row>
    <row r="672" spans="1:12" x14ac:dyDescent="0.2">
      <c r="A672" s="10" t="str">
        <f>+$A$45</f>
        <v>Safflower Oil</v>
      </c>
      <c r="B672" s="10" t="s">
        <v>910</v>
      </c>
      <c r="C672" s="277">
        <v>0.7</v>
      </c>
      <c r="D672" s="426">
        <f t="shared" ref="D672:J672" si="386">+D666*$C672</f>
        <v>1866.6666666666665</v>
      </c>
      <c r="E672" s="426">
        <f t="shared" si="386"/>
        <v>2099.9999999999995</v>
      </c>
      <c r="F672" s="426">
        <f t="shared" si="386"/>
        <v>2333.333333333333</v>
      </c>
      <c r="G672" s="426">
        <f t="shared" si="386"/>
        <v>2566.6666666666665</v>
      </c>
      <c r="H672" s="426">
        <f t="shared" si="386"/>
        <v>2799.9999999999995</v>
      </c>
      <c r="I672" s="426">
        <f t="shared" si="386"/>
        <v>3033.333333333333</v>
      </c>
      <c r="J672" s="426">
        <f t="shared" si="386"/>
        <v>3266.6666666666665</v>
      </c>
    </row>
    <row r="673" spans="1:10" x14ac:dyDescent="0.2">
      <c r="A673" s="10" t="str">
        <f>+$A$50</f>
        <v>Mustard  Oil</v>
      </c>
      <c r="B673" s="10" t="s">
        <v>910</v>
      </c>
      <c r="C673" s="277">
        <v>0.7</v>
      </c>
      <c r="D673" s="426">
        <f t="shared" ref="D673:J673" si="387">+D667*$C673</f>
        <v>13299.999999999996</v>
      </c>
      <c r="E673" s="426">
        <f t="shared" si="387"/>
        <v>14699.999999999996</v>
      </c>
      <c r="F673" s="426">
        <f t="shared" si="387"/>
        <v>16099.999999999998</v>
      </c>
      <c r="G673" s="426">
        <f t="shared" si="387"/>
        <v>17733.333333333332</v>
      </c>
      <c r="H673" s="426">
        <f t="shared" si="387"/>
        <v>19133.333333333328</v>
      </c>
      <c r="I673" s="426">
        <f t="shared" si="387"/>
        <v>20533.333333333332</v>
      </c>
      <c r="J673" s="426">
        <f t="shared" si="387"/>
        <v>22166.666666666664</v>
      </c>
    </row>
    <row r="674" spans="1:10" x14ac:dyDescent="0.2">
      <c r="A674" s="633"/>
      <c r="B674" s="633"/>
      <c r="C674" s="277"/>
      <c r="D674" s="426"/>
      <c r="E674" s="426"/>
      <c r="F674" s="426"/>
      <c r="G674" s="426"/>
      <c r="H674" s="426"/>
      <c r="I674" s="426"/>
      <c r="J674" s="426"/>
    </row>
    <row r="675" spans="1:10" x14ac:dyDescent="0.2">
      <c r="A675" s="10" t="s">
        <v>929</v>
      </c>
      <c r="B675" s="10" t="s">
        <v>910</v>
      </c>
      <c r="C675" s="277">
        <v>0.3</v>
      </c>
      <c r="D675" s="426">
        <f>+D668*$C$675/0.5</f>
        <v>16199.999999999996</v>
      </c>
      <c r="E675" s="426">
        <f t="shared" ref="E675:J675" si="388">+E668*$C$675/0.5</f>
        <v>17999.999999999996</v>
      </c>
      <c r="F675" s="426">
        <f t="shared" si="388"/>
        <v>19800</v>
      </c>
      <c r="G675" s="426">
        <f t="shared" si="388"/>
        <v>21799.999999999996</v>
      </c>
      <c r="H675" s="426">
        <f t="shared" si="388"/>
        <v>23399.999999999996</v>
      </c>
      <c r="I675" s="426">
        <f t="shared" si="388"/>
        <v>25200</v>
      </c>
      <c r="J675" s="426">
        <f t="shared" si="388"/>
        <v>27199.999999999996</v>
      </c>
    </row>
    <row r="676" spans="1:10" x14ac:dyDescent="0.2">
      <c r="A676" s="10" t="str">
        <f>+$A$40</f>
        <v>Flax Oil</v>
      </c>
      <c r="B676" s="10" t="s">
        <v>910</v>
      </c>
      <c r="C676" s="277">
        <v>0.3</v>
      </c>
      <c r="D676" s="426">
        <f>+D665*$C676/0.5</f>
        <v>3199.9999999999995</v>
      </c>
      <c r="E676" s="426">
        <f t="shared" ref="E676:J676" si="389">+E665*$C676/0.5</f>
        <v>3599.9999999999995</v>
      </c>
      <c r="F676" s="426">
        <f t="shared" si="389"/>
        <v>3999.9999999999995</v>
      </c>
      <c r="G676" s="426">
        <f t="shared" si="389"/>
        <v>4400</v>
      </c>
      <c r="H676" s="426">
        <f t="shared" si="389"/>
        <v>4599.9999999999991</v>
      </c>
      <c r="I676" s="426">
        <f t="shared" si="389"/>
        <v>5000</v>
      </c>
      <c r="J676" s="426">
        <f t="shared" si="389"/>
        <v>5400</v>
      </c>
    </row>
    <row r="677" spans="1:10" x14ac:dyDescent="0.2">
      <c r="A677" s="10" t="str">
        <f>+$A$45</f>
        <v>Safflower Oil</v>
      </c>
      <c r="B677" s="10" t="s">
        <v>910</v>
      </c>
      <c r="C677" s="277">
        <v>0.3</v>
      </c>
      <c r="D677" s="426">
        <f t="shared" ref="D677:J678" si="390">+D666*$C677/0.5</f>
        <v>1599.9999999999998</v>
      </c>
      <c r="E677" s="426">
        <f t="shared" si="390"/>
        <v>1799.9999999999998</v>
      </c>
      <c r="F677" s="426">
        <f t="shared" si="390"/>
        <v>1999.9999999999998</v>
      </c>
      <c r="G677" s="426">
        <f t="shared" si="390"/>
        <v>2200</v>
      </c>
      <c r="H677" s="426">
        <f t="shared" si="390"/>
        <v>2399.9999999999995</v>
      </c>
      <c r="I677" s="426">
        <f t="shared" si="390"/>
        <v>2599.9999999999995</v>
      </c>
      <c r="J677" s="426">
        <f t="shared" si="390"/>
        <v>2800</v>
      </c>
    </row>
    <row r="678" spans="1:10" x14ac:dyDescent="0.2">
      <c r="A678" s="10" t="str">
        <f>+$A$50</f>
        <v>Mustard  Oil</v>
      </c>
      <c r="B678" s="10" t="s">
        <v>910</v>
      </c>
      <c r="C678" s="277">
        <v>0.3</v>
      </c>
      <c r="D678" s="426">
        <f t="shared" si="390"/>
        <v>11399.999999999998</v>
      </c>
      <c r="E678" s="426">
        <f t="shared" si="390"/>
        <v>12599.999999999998</v>
      </c>
      <c r="F678" s="426">
        <f t="shared" si="390"/>
        <v>13800</v>
      </c>
      <c r="G678" s="426">
        <f t="shared" si="390"/>
        <v>15199.999999999998</v>
      </c>
      <c r="H678" s="426">
        <f t="shared" si="390"/>
        <v>16399.999999999996</v>
      </c>
      <c r="I678" s="426">
        <f t="shared" si="390"/>
        <v>17600</v>
      </c>
      <c r="J678" s="426">
        <f t="shared" si="390"/>
        <v>18999.999999999996</v>
      </c>
    </row>
    <row r="680" spans="1:10" x14ac:dyDescent="0.2">
      <c r="A680" s="2" t="s">
        <v>934</v>
      </c>
      <c r="B680" s="10"/>
      <c r="C680" s="10"/>
      <c r="D680" s="426"/>
      <c r="E680" s="426"/>
      <c r="F680" s="426"/>
      <c r="G680" s="426"/>
      <c r="H680" s="426"/>
      <c r="I680" s="426"/>
      <c r="J680" s="426"/>
    </row>
    <row r="681" spans="1:10" x14ac:dyDescent="0.2">
      <c r="A681" s="633" t="s">
        <v>935</v>
      </c>
      <c r="B681" s="10" t="s">
        <v>910</v>
      </c>
      <c r="C681" s="10">
        <v>4.5</v>
      </c>
      <c r="D681" s="426">
        <f t="shared" ref="D681:J681" si="391">+$C681*D670</f>
        <v>85049.999999999985</v>
      </c>
      <c r="E681" s="426">
        <f t="shared" si="391"/>
        <v>94499.999999999971</v>
      </c>
      <c r="F681" s="426">
        <f t="shared" si="391"/>
        <v>103950</v>
      </c>
      <c r="G681" s="426">
        <f t="shared" si="391"/>
        <v>114449.99999999997</v>
      </c>
      <c r="H681" s="426">
        <f t="shared" si="391"/>
        <v>122849.99999999997</v>
      </c>
      <c r="I681" s="426">
        <f t="shared" si="391"/>
        <v>132299.99999999997</v>
      </c>
      <c r="J681" s="426">
        <f t="shared" si="391"/>
        <v>142799.99999999997</v>
      </c>
    </row>
    <row r="682" spans="1:10" x14ac:dyDescent="0.2">
      <c r="A682" s="10" t="s">
        <v>936</v>
      </c>
      <c r="B682" s="10" t="s">
        <v>910</v>
      </c>
      <c r="C682" s="10">
        <v>3</v>
      </c>
      <c r="D682" s="426">
        <f>+D675*$C$682</f>
        <v>48599.999999999985</v>
      </c>
      <c r="E682" s="426">
        <f t="shared" ref="E682:J682" si="392">+E675*$C$682</f>
        <v>53999.999999999985</v>
      </c>
      <c r="F682" s="426">
        <f t="shared" si="392"/>
        <v>59400</v>
      </c>
      <c r="G682" s="426">
        <f t="shared" si="392"/>
        <v>65399.999999999985</v>
      </c>
      <c r="H682" s="426">
        <f t="shared" si="392"/>
        <v>70199.999999999985</v>
      </c>
      <c r="I682" s="426">
        <f t="shared" si="392"/>
        <v>75600</v>
      </c>
      <c r="J682" s="426">
        <f t="shared" si="392"/>
        <v>81599.999999999985</v>
      </c>
    </row>
    <row r="683" spans="1:10" x14ac:dyDescent="0.2">
      <c r="A683" s="2" t="s">
        <v>1</v>
      </c>
      <c r="B683" s="10"/>
      <c r="C683" s="10"/>
      <c r="D683" s="636">
        <f>SUM(D681:D682)</f>
        <v>133649.99999999997</v>
      </c>
      <c r="E683" s="636">
        <f t="shared" ref="E683:J683" si="393">SUM(E681:E682)</f>
        <v>148499.99999999994</v>
      </c>
      <c r="F683" s="636">
        <f t="shared" si="393"/>
        <v>163350</v>
      </c>
      <c r="G683" s="636">
        <f t="shared" si="393"/>
        <v>179849.99999999994</v>
      </c>
      <c r="H683" s="636">
        <f t="shared" si="393"/>
        <v>193049.99999999994</v>
      </c>
      <c r="I683" s="636">
        <f t="shared" si="393"/>
        <v>207899.99999999997</v>
      </c>
      <c r="J683" s="636">
        <f t="shared" si="393"/>
        <v>224399.99999999994</v>
      </c>
    </row>
    <row r="690" spans="3:5" x14ac:dyDescent="0.2">
      <c r="C690">
        <v>5</v>
      </c>
      <c r="D690" s="365">
        <v>12</v>
      </c>
      <c r="E690" s="365">
        <v>6.5</v>
      </c>
    </row>
    <row r="691" spans="3:5" x14ac:dyDescent="0.2">
      <c r="C691">
        <v>1</v>
      </c>
      <c r="D691" s="365">
        <v>2.2000000000000002</v>
      </c>
      <c r="E691" s="365">
        <v>2</v>
      </c>
    </row>
    <row r="693" spans="3:5" x14ac:dyDescent="0.2">
      <c r="C693">
        <v>500</v>
      </c>
      <c r="D693" s="365">
        <v>3</v>
      </c>
    </row>
    <row r="694" spans="3:5" x14ac:dyDescent="0.2">
      <c r="C694">
        <v>1</v>
      </c>
      <c r="D694" s="365">
        <v>4.5</v>
      </c>
    </row>
  </sheetData>
  <mergeCells count="6">
    <mergeCell ref="A623:C623"/>
    <mergeCell ref="A125:I125"/>
    <mergeCell ref="A3:H3"/>
    <mergeCell ref="A74:J74"/>
    <mergeCell ref="A4:H4"/>
    <mergeCell ref="A14:H14"/>
  </mergeCells>
  <pageMargins left="0.25" right="0.25" top="0.75" bottom="0.75" header="0.3" footer="0.3"/>
  <pageSetup paperSize="9" scale="70" fitToHeight="0" orientation="portrait" r:id="rId1"/>
  <rowBreaks count="3" manualBreakCount="3">
    <brk id="71" max="16383" man="1"/>
    <brk id="508" max="9" man="1"/>
    <brk id="536" max="9"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02"/>
  <sheetViews>
    <sheetView topLeftCell="A157" zoomScale="70" zoomScaleNormal="70" workbookViewId="0" xr3:uid="{CF366857-BBDD-5199-9BC9-FF52903B0715}">
      <selection activeCell="C177" sqref="C177:I177"/>
    </sheetView>
  </sheetViews>
  <sheetFormatPr defaultColWidth="9.14453125" defaultRowHeight="15" x14ac:dyDescent="0.2"/>
  <cols>
    <col min="1" max="1" width="4.03515625" style="566" bestFit="1" customWidth="1"/>
    <col min="2" max="2" width="76.2734375" style="562" bestFit="1" customWidth="1"/>
    <col min="3" max="3" width="23.67578125" style="562" bestFit="1" customWidth="1"/>
    <col min="4" max="4" width="19.90625" style="562" bestFit="1" customWidth="1"/>
    <col min="5" max="12" width="12.23828125" style="562" bestFit="1" customWidth="1"/>
    <col min="13" max="16384" width="9.14453125" style="562"/>
  </cols>
  <sheetData>
    <row r="1" spans="1:4" x14ac:dyDescent="0.2">
      <c r="A1" s="560"/>
      <c r="B1" s="561" t="s">
        <v>815</v>
      </c>
    </row>
    <row r="2" spans="1:4" x14ac:dyDescent="0.2">
      <c r="A2" s="563">
        <v>1</v>
      </c>
      <c r="B2" s="564" t="s">
        <v>816</v>
      </c>
    </row>
    <row r="3" spans="1:4" x14ac:dyDescent="0.2">
      <c r="A3" s="565" t="s">
        <v>229</v>
      </c>
      <c r="B3" s="562" t="s">
        <v>817</v>
      </c>
      <c r="C3" s="562" t="s">
        <v>818</v>
      </c>
    </row>
    <row r="4" spans="1:4" x14ac:dyDescent="0.2">
      <c r="A4" s="565" t="s">
        <v>230</v>
      </c>
      <c r="B4" s="562" t="s">
        <v>819</v>
      </c>
      <c r="C4" s="562" t="s">
        <v>820</v>
      </c>
    </row>
    <row r="5" spans="1:4" x14ac:dyDescent="0.2">
      <c r="C5" s="564" t="s">
        <v>853</v>
      </c>
    </row>
    <row r="6" spans="1:4" x14ac:dyDescent="0.2">
      <c r="A6" s="566">
        <v>1.1000000000000001</v>
      </c>
      <c r="B6" s="316" t="s">
        <v>877</v>
      </c>
      <c r="C6" s="568">
        <v>0.5</v>
      </c>
    </row>
    <row r="7" spans="1:4" x14ac:dyDescent="0.2">
      <c r="B7" s="316" t="s">
        <v>878</v>
      </c>
      <c r="C7" s="568">
        <v>0.25</v>
      </c>
    </row>
    <row r="8" spans="1:4" x14ac:dyDescent="0.2">
      <c r="B8" s="316" t="s">
        <v>879</v>
      </c>
      <c r="C8" s="568">
        <v>0.25</v>
      </c>
    </row>
    <row r="9" spans="1:4" x14ac:dyDescent="0.2">
      <c r="B9" s="316" t="s">
        <v>648</v>
      </c>
      <c r="C9" s="568">
        <v>0</v>
      </c>
    </row>
    <row r="10" spans="1:4" x14ac:dyDescent="0.2">
      <c r="B10" s="316" t="s">
        <v>649</v>
      </c>
      <c r="C10" s="568">
        <v>0</v>
      </c>
    </row>
    <row r="16" spans="1:4" x14ac:dyDescent="0.2">
      <c r="A16" s="563">
        <v>2</v>
      </c>
      <c r="B16" s="564" t="s">
        <v>16</v>
      </c>
      <c r="C16" s="564" t="s">
        <v>821</v>
      </c>
      <c r="D16" s="564" t="s">
        <v>822</v>
      </c>
    </row>
    <row r="17" spans="1:12" x14ac:dyDescent="0.2">
      <c r="B17" s="562" t="s">
        <v>201</v>
      </c>
      <c r="C17" s="567">
        <v>3.1699999999999999E-2</v>
      </c>
      <c r="D17" s="567">
        <v>6.3299999999999995E-2</v>
      </c>
    </row>
    <row r="18" spans="1:12" x14ac:dyDescent="0.2">
      <c r="B18" s="562" t="s">
        <v>202</v>
      </c>
      <c r="C18" s="568">
        <v>0.1</v>
      </c>
      <c r="D18" s="568">
        <v>0.15</v>
      </c>
    </row>
    <row r="20" spans="1:12" x14ac:dyDescent="0.2">
      <c r="A20" s="563">
        <v>3</v>
      </c>
      <c r="B20" s="564" t="s">
        <v>823</v>
      </c>
      <c r="C20" s="564" t="s">
        <v>871</v>
      </c>
    </row>
    <row r="21" spans="1:12" x14ac:dyDescent="0.2">
      <c r="A21" s="563">
        <v>4</v>
      </c>
      <c r="B21" s="564" t="s">
        <v>824</v>
      </c>
      <c r="C21" s="564" t="s">
        <v>880</v>
      </c>
    </row>
    <row r="23" spans="1:12" x14ac:dyDescent="0.2">
      <c r="A23" s="563">
        <v>4</v>
      </c>
      <c r="B23" s="564" t="s">
        <v>825</v>
      </c>
      <c r="C23" s="403" t="s">
        <v>2</v>
      </c>
      <c r="D23" s="403" t="s">
        <v>3</v>
      </c>
      <c r="E23" s="403" t="s">
        <v>4</v>
      </c>
      <c r="F23" s="403" t="s">
        <v>5</v>
      </c>
      <c r="G23" s="403" t="s">
        <v>6</v>
      </c>
      <c r="H23" s="403" t="s">
        <v>163</v>
      </c>
      <c r="I23" s="403" t="s">
        <v>162</v>
      </c>
      <c r="J23" s="403" t="s">
        <v>658</v>
      </c>
      <c r="K23" s="403" t="s">
        <v>659</v>
      </c>
      <c r="L23" s="403" t="s">
        <v>660</v>
      </c>
    </row>
    <row r="24" spans="1:12" x14ac:dyDescent="0.2">
      <c r="A24" s="565" t="s">
        <v>229</v>
      </c>
      <c r="B24" s="404" t="s">
        <v>826</v>
      </c>
      <c r="C24" s="569">
        <v>0.45</v>
      </c>
      <c r="D24" s="569">
        <f>+C24+5%</f>
        <v>0.5</v>
      </c>
      <c r="E24" s="569">
        <f t="shared" ref="E24:L24" si="0">+D24+5%</f>
        <v>0.55000000000000004</v>
      </c>
      <c r="F24" s="569">
        <f t="shared" si="0"/>
        <v>0.60000000000000009</v>
      </c>
      <c r="G24" s="569">
        <f t="shared" si="0"/>
        <v>0.65000000000000013</v>
      </c>
      <c r="H24" s="569">
        <f t="shared" si="0"/>
        <v>0.70000000000000018</v>
      </c>
      <c r="I24" s="569">
        <f t="shared" si="0"/>
        <v>0.75000000000000022</v>
      </c>
      <c r="J24" s="569">
        <f t="shared" si="0"/>
        <v>0.80000000000000027</v>
      </c>
      <c r="K24" s="569">
        <f t="shared" si="0"/>
        <v>0.85000000000000031</v>
      </c>
      <c r="L24" s="569">
        <f t="shared" si="0"/>
        <v>0.90000000000000036</v>
      </c>
    </row>
    <row r="25" spans="1:12" x14ac:dyDescent="0.2">
      <c r="A25" s="565" t="s">
        <v>230</v>
      </c>
      <c r="B25" s="404" t="s">
        <v>635</v>
      </c>
      <c r="C25" s="569">
        <v>0.45</v>
      </c>
      <c r="D25" s="569">
        <f>+C25+5%</f>
        <v>0.5</v>
      </c>
      <c r="E25" s="569">
        <f t="shared" ref="E25:L25" si="1">+D25+5%</f>
        <v>0.55000000000000004</v>
      </c>
      <c r="F25" s="569">
        <f t="shared" si="1"/>
        <v>0.60000000000000009</v>
      </c>
      <c r="G25" s="569">
        <f t="shared" si="1"/>
        <v>0.65000000000000013</v>
      </c>
      <c r="H25" s="569">
        <f t="shared" si="1"/>
        <v>0.70000000000000018</v>
      </c>
      <c r="I25" s="569">
        <f t="shared" si="1"/>
        <v>0.75000000000000022</v>
      </c>
      <c r="J25" s="569">
        <f t="shared" si="1"/>
        <v>0.80000000000000027</v>
      </c>
      <c r="K25" s="569">
        <f t="shared" si="1"/>
        <v>0.85000000000000031</v>
      </c>
      <c r="L25" s="569">
        <f t="shared" si="1"/>
        <v>0.90000000000000036</v>
      </c>
    </row>
    <row r="26" spans="1:12" hidden="1" x14ac:dyDescent="0.2">
      <c r="A26" s="565" t="s">
        <v>266</v>
      </c>
      <c r="B26" s="404" t="s">
        <v>827</v>
      </c>
      <c r="C26" s="569">
        <v>0.4</v>
      </c>
      <c r="D26" s="569">
        <v>0.5</v>
      </c>
      <c r="E26" s="569">
        <v>0.55000000000000004</v>
      </c>
      <c r="F26" s="569">
        <v>0.60000000000000009</v>
      </c>
      <c r="G26" s="569">
        <v>0.65000000000000013</v>
      </c>
      <c r="H26" s="569">
        <v>0.65000000000000013</v>
      </c>
      <c r="I26" s="569">
        <v>0.65000000000000013</v>
      </c>
    </row>
    <row r="28" spans="1:12" x14ac:dyDescent="0.2">
      <c r="A28" s="563">
        <v>5</v>
      </c>
      <c r="B28" s="317" t="s">
        <v>881</v>
      </c>
    </row>
    <row r="29" spans="1:12" x14ac:dyDescent="0.2">
      <c r="A29" s="565" t="s">
        <v>229</v>
      </c>
      <c r="B29" s="332" t="s">
        <v>882</v>
      </c>
      <c r="C29" s="570">
        <v>0.25</v>
      </c>
    </row>
    <row r="30" spans="1:12" x14ac:dyDescent="0.2">
      <c r="A30" s="565" t="s">
        <v>230</v>
      </c>
      <c r="B30" s="332" t="s">
        <v>883</v>
      </c>
      <c r="C30" s="570">
        <v>0.7</v>
      </c>
    </row>
    <row r="31" spans="1:12" x14ac:dyDescent="0.2">
      <c r="A31" s="565" t="s">
        <v>266</v>
      </c>
      <c r="B31" s="332" t="s">
        <v>651</v>
      </c>
      <c r="C31" s="570">
        <v>0.05</v>
      </c>
    </row>
    <row r="32" spans="1:12" x14ac:dyDescent="0.2">
      <c r="A32" s="565" t="s">
        <v>268</v>
      </c>
      <c r="B32" s="404" t="s">
        <v>850</v>
      </c>
      <c r="C32" s="570">
        <v>0</v>
      </c>
    </row>
    <row r="33" spans="1:3" x14ac:dyDescent="0.2">
      <c r="A33" s="565" t="s">
        <v>321</v>
      </c>
      <c r="B33" s="404" t="s">
        <v>851</v>
      </c>
      <c r="C33" s="570">
        <v>0</v>
      </c>
    </row>
    <row r="34" spans="1:3" x14ac:dyDescent="0.2">
      <c r="A34" s="565"/>
      <c r="B34" s="404"/>
      <c r="C34" s="570"/>
    </row>
    <row r="35" spans="1:3" x14ac:dyDescent="0.2">
      <c r="A35" s="563">
        <v>5</v>
      </c>
      <c r="B35" s="317" t="s">
        <v>977</v>
      </c>
    </row>
    <row r="36" spans="1:3" x14ac:dyDescent="0.2">
      <c r="A36" s="565" t="s">
        <v>229</v>
      </c>
      <c r="B36" s="332" t="s">
        <v>973</v>
      </c>
      <c r="C36" s="570">
        <v>0.25</v>
      </c>
    </row>
    <row r="37" spans="1:3" x14ac:dyDescent="0.2">
      <c r="A37" s="565" t="s">
        <v>230</v>
      </c>
      <c r="B37" s="332" t="s">
        <v>883</v>
      </c>
      <c r="C37" s="570">
        <v>0.7</v>
      </c>
    </row>
    <row r="38" spans="1:3" x14ac:dyDescent="0.2">
      <c r="A38" s="565" t="s">
        <v>266</v>
      </c>
      <c r="B38" s="332" t="s">
        <v>651</v>
      </c>
      <c r="C38" s="570">
        <v>0.05</v>
      </c>
    </row>
    <row r="39" spans="1:3" x14ac:dyDescent="0.2">
      <c r="A39" s="565" t="s">
        <v>268</v>
      </c>
      <c r="B39" s="404" t="s">
        <v>850</v>
      </c>
      <c r="C39" s="570">
        <v>0</v>
      </c>
    </row>
    <row r="40" spans="1:3" x14ac:dyDescent="0.2">
      <c r="A40" s="565" t="s">
        <v>321</v>
      </c>
      <c r="B40" s="404" t="s">
        <v>851</v>
      </c>
      <c r="C40" s="570">
        <v>0</v>
      </c>
    </row>
    <row r="41" spans="1:3" x14ac:dyDescent="0.2">
      <c r="A41" s="565"/>
      <c r="B41" s="404"/>
      <c r="C41" s="570"/>
    </row>
    <row r="42" spans="1:3" x14ac:dyDescent="0.2">
      <c r="A42" s="563">
        <v>5</v>
      </c>
      <c r="B42" s="317" t="s">
        <v>885</v>
      </c>
    </row>
    <row r="43" spans="1:3" x14ac:dyDescent="0.2">
      <c r="A43" s="565" t="s">
        <v>229</v>
      </c>
      <c r="B43" s="332" t="s">
        <v>884</v>
      </c>
      <c r="C43" s="570">
        <v>0.25</v>
      </c>
    </row>
    <row r="44" spans="1:3" x14ac:dyDescent="0.2">
      <c r="A44" s="565" t="s">
        <v>230</v>
      </c>
      <c r="B44" s="332" t="s">
        <v>883</v>
      </c>
      <c r="C44" s="570">
        <v>0.7</v>
      </c>
    </row>
    <row r="45" spans="1:3" x14ac:dyDescent="0.2">
      <c r="A45" s="565" t="s">
        <v>266</v>
      </c>
      <c r="B45" s="332" t="s">
        <v>651</v>
      </c>
      <c r="C45" s="570">
        <v>0.05</v>
      </c>
    </row>
    <row r="46" spans="1:3" x14ac:dyDescent="0.2">
      <c r="A46" s="565"/>
      <c r="B46" s="404"/>
      <c r="C46" s="570"/>
    </row>
    <row r="47" spans="1:3" x14ac:dyDescent="0.2">
      <c r="A47" s="563">
        <v>5</v>
      </c>
      <c r="B47" s="559" t="s">
        <v>652</v>
      </c>
    </row>
    <row r="48" spans="1:3" x14ac:dyDescent="0.2">
      <c r="A48" s="565" t="s">
        <v>229</v>
      </c>
      <c r="B48" s="404" t="s">
        <v>636</v>
      </c>
      <c r="C48" s="570">
        <v>0</v>
      </c>
    </row>
    <row r="49" spans="1:4" x14ac:dyDescent="0.2">
      <c r="A49" s="565" t="s">
        <v>230</v>
      </c>
      <c r="B49" s="404" t="s">
        <v>637</v>
      </c>
      <c r="C49" s="570">
        <v>0</v>
      </c>
    </row>
    <row r="50" spans="1:4" x14ac:dyDescent="0.2">
      <c r="A50" s="565" t="s">
        <v>266</v>
      </c>
      <c r="B50" s="404" t="s">
        <v>650</v>
      </c>
      <c r="C50" s="570">
        <v>0</v>
      </c>
    </row>
    <row r="51" spans="1:4" x14ac:dyDescent="0.2">
      <c r="A51" s="565"/>
      <c r="B51" s="404"/>
      <c r="C51" s="570"/>
    </row>
    <row r="52" spans="1:4" x14ac:dyDescent="0.2">
      <c r="A52" s="563">
        <v>5</v>
      </c>
      <c r="B52" s="559" t="s">
        <v>653</v>
      </c>
    </row>
    <row r="53" spans="1:4" x14ac:dyDescent="0.2">
      <c r="A53" s="565" t="s">
        <v>229</v>
      </c>
      <c r="B53" s="404" t="s">
        <v>654</v>
      </c>
      <c r="C53" s="570">
        <v>0</v>
      </c>
    </row>
    <row r="54" spans="1:4" x14ac:dyDescent="0.2">
      <c r="A54" s="565" t="s">
        <v>230</v>
      </c>
      <c r="B54" s="404" t="s">
        <v>655</v>
      </c>
      <c r="C54" s="570">
        <v>0</v>
      </c>
    </row>
    <row r="55" spans="1:4" x14ac:dyDescent="0.2">
      <c r="A55" s="565" t="s">
        <v>266</v>
      </c>
      <c r="B55" s="404" t="s">
        <v>651</v>
      </c>
      <c r="C55" s="570">
        <v>0</v>
      </c>
    </row>
    <row r="57" spans="1:4" x14ac:dyDescent="0.2">
      <c r="A57" s="566" t="s">
        <v>855</v>
      </c>
      <c r="B57" s="591" t="s">
        <v>886</v>
      </c>
    </row>
    <row r="58" spans="1:4" x14ac:dyDescent="0.2">
      <c r="B58" s="591" t="s">
        <v>974</v>
      </c>
    </row>
    <row r="59" spans="1:4" x14ac:dyDescent="0.2">
      <c r="B59" s="591" t="s">
        <v>887</v>
      </c>
    </row>
    <row r="60" spans="1:4" x14ac:dyDescent="0.2">
      <c r="B60" s="591" t="s">
        <v>857</v>
      </c>
    </row>
    <row r="61" spans="1:4" x14ac:dyDescent="0.2">
      <c r="B61" s="591" t="s">
        <v>856</v>
      </c>
    </row>
    <row r="62" spans="1:4" x14ac:dyDescent="0.2">
      <c r="B62" s="573"/>
    </row>
    <row r="63" spans="1:4" x14ac:dyDescent="0.2">
      <c r="A63" s="566">
        <v>7</v>
      </c>
      <c r="B63" s="562" t="s">
        <v>828</v>
      </c>
      <c r="C63" s="562" t="s">
        <v>829</v>
      </c>
    </row>
    <row r="64" spans="1:4" x14ac:dyDescent="0.2">
      <c r="A64" s="566">
        <v>8</v>
      </c>
      <c r="B64" s="562" t="s">
        <v>892</v>
      </c>
      <c r="C64" s="562" t="s">
        <v>937</v>
      </c>
      <c r="D64" s="572">
        <v>24</v>
      </c>
    </row>
    <row r="65" spans="1:12" hidden="1" x14ac:dyDescent="0.2">
      <c r="A65" s="566">
        <v>9</v>
      </c>
      <c r="B65" s="562" t="s">
        <v>831</v>
      </c>
      <c r="C65" s="562" t="s">
        <v>832</v>
      </c>
    </row>
    <row r="67" spans="1:12" x14ac:dyDescent="0.2">
      <c r="A67" s="566">
        <v>9</v>
      </c>
      <c r="B67" s="588" t="s">
        <v>833</v>
      </c>
      <c r="C67" s="403" t="s">
        <v>2</v>
      </c>
      <c r="D67" s="403" t="s">
        <v>3</v>
      </c>
      <c r="E67" s="403" t="s">
        <v>4</v>
      </c>
      <c r="F67" s="403" t="s">
        <v>5</v>
      </c>
      <c r="G67" s="403" t="s">
        <v>6</v>
      </c>
      <c r="H67" s="403" t="s">
        <v>163</v>
      </c>
      <c r="I67" s="403" t="s">
        <v>162</v>
      </c>
      <c r="J67" s="403" t="s">
        <v>658</v>
      </c>
      <c r="K67" s="403" t="s">
        <v>659</v>
      </c>
      <c r="L67" s="403" t="s">
        <v>660</v>
      </c>
    </row>
    <row r="68" spans="1:12" x14ac:dyDescent="0.2">
      <c r="B68" s="590" t="s">
        <v>888</v>
      </c>
      <c r="C68" s="417">
        <v>66000</v>
      </c>
      <c r="D68" s="417">
        <f>ROUND(C68*1.05,-1)</f>
        <v>69300</v>
      </c>
      <c r="E68" s="417">
        <f t="shared" ref="E68:L68" si="2">ROUND(D68*1.05,-1)</f>
        <v>72770</v>
      </c>
      <c r="F68" s="417">
        <f t="shared" si="2"/>
        <v>76410</v>
      </c>
      <c r="G68" s="417">
        <f t="shared" si="2"/>
        <v>80230</v>
      </c>
      <c r="H68" s="417">
        <f t="shared" si="2"/>
        <v>84240</v>
      </c>
      <c r="I68" s="417">
        <f t="shared" si="2"/>
        <v>88450</v>
      </c>
      <c r="J68" s="417">
        <f t="shared" si="2"/>
        <v>92870</v>
      </c>
      <c r="K68" s="417">
        <f t="shared" si="2"/>
        <v>97510</v>
      </c>
      <c r="L68" s="417">
        <f t="shared" si="2"/>
        <v>102390</v>
      </c>
    </row>
    <row r="69" spans="1:12" x14ac:dyDescent="0.2">
      <c r="B69" s="590" t="s">
        <v>972</v>
      </c>
      <c r="C69" s="417">
        <v>76000</v>
      </c>
      <c r="D69" s="417">
        <f t="shared" ref="D69:L73" si="3">ROUND(C69*1.05,-1)</f>
        <v>79800</v>
      </c>
      <c r="E69" s="417">
        <f t="shared" si="3"/>
        <v>83790</v>
      </c>
      <c r="F69" s="417">
        <f t="shared" si="3"/>
        <v>87980</v>
      </c>
      <c r="G69" s="417">
        <f t="shared" si="3"/>
        <v>92380</v>
      </c>
      <c r="H69" s="417">
        <f t="shared" si="3"/>
        <v>97000</v>
      </c>
      <c r="I69" s="417">
        <f t="shared" si="3"/>
        <v>101850</v>
      </c>
      <c r="J69" s="417">
        <f t="shared" si="3"/>
        <v>106940</v>
      </c>
      <c r="K69" s="417">
        <f t="shared" si="3"/>
        <v>112290</v>
      </c>
      <c r="L69" s="417">
        <f t="shared" si="3"/>
        <v>117900</v>
      </c>
    </row>
    <row r="70" spans="1:12" hidden="1" x14ac:dyDescent="0.2">
      <c r="B70" s="590" t="s">
        <v>664</v>
      </c>
      <c r="C70" s="417">
        <v>25000</v>
      </c>
      <c r="D70" s="417">
        <f t="shared" si="3"/>
        <v>26250</v>
      </c>
      <c r="E70" s="417">
        <f t="shared" si="3"/>
        <v>27560</v>
      </c>
      <c r="F70" s="417">
        <f t="shared" si="3"/>
        <v>28940</v>
      </c>
      <c r="G70" s="417">
        <f t="shared" si="3"/>
        <v>30390</v>
      </c>
      <c r="H70" s="417">
        <f t="shared" si="3"/>
        <v>31910</v>
      </c>
      <c r="I70" s="417">
        <f t="shared" si="3"/>
        <v>33510</v>
      </c>
      <c r="J70" s="417">
        <f t="shared" si="3"/>
        <v>35190</v>
      </c>
      <c r="K70" s="417">
        <f t="shared" si="3"/>
        <v>36950</v>
      </c>
      <c r="L70" s="417">
        <f t="shared" si="3"/>
        <v>38800</v>
      </c>
    </row>
    <row r="71" spans="1:12" x14ac:dyDescent="0.2">
      <c r="B71" s="590" t="s">
        <v>889</v>
      </c>
      <c r="C71" s="417">
        <v>60000</v>
      </c>
      <c r="D71" s="417">
        <f t="shared" si="3"/>
        <v>63000</v>
      </c>
      <c r="E71" s="417">
        <f t="shared" si="3"/>
        <v>66150</v>
      </c>
      <c r="F71" s="417">
        <f t="shared" si="3"/>
        <v>69460</v>
      </c>
      <c r="G71" s="417">
        <f t="shared" si="3"/>
        <v>72930</v>
      </c>
      <c r="H71" s="417">
        <f t="shared" si="3"/>
        <v>76580</v>
      </c>
      <c r="I71" s="417">
        <f t="shared" si="3"/>
        <v>80410</v>
      </c>
      <c r="J71" s="417">
        <f t="shared" si="3"/>
        <v>84430</v>
      </c>
      <c r="K71" s="417">
        <f t="shared" si="3"/>
        <v>88650</v>
      </c>
      <c r="L71" s="417">
        <f t="shared" si="3"/>
        <v>93080</v>
      </c>
    </row>
    <row r="72" spans="1:12" x14ac:dyDescent="0.2">
      <c r="B72" s="590" t="s">
        <v>640</v>
      </c>
      <c r="C72" s="417">
        <v>0</v>
      </c>
      <c r="D72" s="417">
        <f t="shared" si="3"/>
        <v>0</v>
      </c>
      <c r="E72" s="417">
        <f t="shared" si="3"/>
        <v>0</v>
      </c>
      <c r="F72" s="417">
        <f t="shared" si="3"/>
        <v>0</v>
      </c>
      <c r="G72" s="417">
        <f t="shared" si="3"/>
        <v>0</v>
      </c>
      <c r="H72" s="417">
        <f t="shared" si="3"/>
        <v>0</v>
      </c>
      <c r="I72" s="417">
        <f t="shared" si="3"/>
        <v>0</v>
      </c>
      <c r="J72" s="417">
        <f t="shared" si="3"/>
        <v>0</v>
      </c>
      <c r="K72" s="417">
        <f t="shared" si="3"/>
        <v>0</v>
      </c>
      <c r="L72" s="417">
        <f t="shared" si="3"/>
        <v>0</v>
      </c>
    </row>
    <row r="73" spans="1:12" x14ac:dyDescent="0.2">
      <c r="B73" s="590" t="s">
        <v>464</v>
      </c>
      <c r="C73" s="417">
        <v>0</v>
      </c>
      <c r="D73" s="417">
        <f t="shared" si="3"/>
        <v>0</v>
      </c>
      <c r="E73" s="417">
        <f t="shared" si="3"/>
        <v>0</v>
      </c>
      <c r="F73" s="417">
        <f t="shared" si="3"/>
        <v>0</v>
      </c>
      <c r="G73" s="417">
        <f t="shared" si="3"/>
        <v>0</v>
      </c>
      <c r="H73" s="417">
        <f t="shared" si="3"/>
        <v>0</v>
      </c>
      <c r="I73" s="417">
        <f t="shared" si="3"/>
        <v>0</v>
      </c>
      <c r="J73" s="417">
        <f t="shared" si="3"/>
        <v>0</v>
      </c>
      <c r="K73" s="417">
        <f t="shared" si="3"/>
        <v>0</v>
      </c>
      <c r="L73" s="417">
        <f t="shared" si="3"/>
        <v>0</v>
      </c>
    </row>
    <row r="74" spans="1:12" x14ac:dyDescent="0.2">
      <c r="C74" s="417"/>
      <c r="D74" s="417"/>
      <c r="E74" s="417"/>
      <c r="F74" s="417"/>
      <c r="G74" s="417"/>
      <c r="H74" s="417"/>
      <c r="I74" s="417"/>
      <c r="J74" s="417"/>
      <c r="K74" s="417"/>
      <c r="L74" s="417"/>
    </row>
    <row r="75" spans="1:12" hidden="1" x14ac:dyDescent="0.2">
      <c r="C75" s="403" t="s">
        <v>2</v>
      </c>
      <c r="D75" s="403" t="s">
        <v>3</v>
      </c>
      <c r="E75" s="403" t="s">
        <v>4</v>
      </c>
      <c r="F75" s="403" t="s">
        <v>5</v>
      </c>
      <c r="G75" s="403" t="s">
        <v>6</v>
      </c>
      <c r="H75" s="403" t="s">
        <v>163</v>
      </c>
      <c r="I75" s="403" t="s">
        <v>162</v>
      </c>
    </row>
    <row r="76" spans="1:12" hidden="1" x14ac:dyDescent="0.2">
      <c r="A76" s="566">
        <v>11</v>
      </c>
      <c r="B76" s="562" t="s">
        <v>834</v>
      </c>
      <c r="C76" s="417">
        <v>0</v>
      </c>
      <c r="D76" s="417">
        <v>0</v>
      </c>
      <c r="E76" s="417">
        <v>0</v>
      </c>
      <c r="F76" s="417">
        <v>0</v>
      </c>
      <c r="G76" s="417">
        <v>0</v>
      </c>
      <c r="H76" s="417">
        <v>0</v>
      </c>
      <c r="I76" s="417">
        <v>0</v>
      </c>
    </row>
    <row r="77" spans="1:12" hidden="1" x14ac:dyDescent="0.2">
      <c r="C77" s="417"/>
      <c r="D77" s="417"/>
      <c r="E77" s="417"/>
      <c r="F77" s="417"/>
      <c r="G77" s="417"/>
      <c r="H77" s="417"/>
      <c r="I77" s="417"/>
    </row>
    <row r="78" spans="1:12" hidden="1" x14ac:dyDescent="0.2">
      <c r="C78" s="403" t="s">
        <v>2</v>
      </c>
      <c r="D78" s="403" t="s">
        <v>3</v>
      </c>
      <c r="E78" s="403" t="s">
        <v>4</v>
      </c>
      <c r="F78" s="403" t="s">
        <v>5</v>
      </c>
      <c r="G78" s="403" t="s">
        <v>6</v>
      </c>
      <c r="H78" s="403" t="s">
        <v>163</v>
      </c>
      <c r="I78" s="403" t="s">
        <v>162</v>
      </c>
    </row>
    <row r="79" spans="1:12" hidden="1" x14ac:dyDescent="0.2">
      <c r="A79" s="566">
        <v>12</v>
      </c>
      <c r="B79" s="562" t="s">
        <v>835</v>
      </c>
      <c r="C79" s="568">
        <v>0.85</v>
      </c>
      <c r="D79" s="568">
        <v>0.85</v>
      </c>
      <c r="E79" s="568">
        <v>0.85</v>
      </c>
      <c r="F79" s="568">
        <v>0.85</v>
      </c>
      <c r="G79" s="568">
        <v>0.85</v>
      </c>
      <c r="H79" s="568">
        <v>0.85</v>
      </c>
      <c r="I79" s="568">
        <v>0.85</v>
      </c>
    </row>
    <row r="80" spans="1:12" x14ac:dyDescent="0.2">
      <c r="C80" s="417"/>
      <c r="D80" s="417"/>
      <c r="E80" s="417"/>
      <c r="F80" s="417"/>
      <c r="G80" s="417"/>
      <c r="H80" s="417"/>
      <c r="I80" s="417"/>
    </row>
    <row r="81" spans="1:12" x14ac:dyDescent="0.2">
      <c r="A81" s="566">
        <v>10</v>
      </c>
      <c r="B81" s="564" t="s">
        <v>836</v>
      </c>
      <c r="C81" s="403" t="s">
        <v>2</v>
      </c>
      <c r="D81" s="403" t="s">
        <v>3</v>
      </c>
      <c r="E81" s="403" t="s">
        <v>4</v>
      </c>
      <c r="F81" s="403" t="s">
        <v>5</v>
      </c>
      <c r="G81" s="403" t="s">
        <v>6</v>
      </c>
      <c r="H81" s="403" t="s">
        <v>163</v>
      </c>
      <c r="I81" s="403" t="s">
        <v>162</v>
      </c>
      <c r="J81" s="403" t="s">
        <v>658</v>
      </c>
      <c r="K81" s="403" t="s">
        <v>659</v>
      </c>
      <c r="L81" s="403" t="s">
        <v>660</v>
      </c>
    </row>
    <row r="82" spans="1:12" x14ac:dyDescent="0.2">
      <c r="B82" s="562" t="s">
        <v>837</v>
      </c>
      <c r="C82" s="417">
        <v>2300</v>
      </c>
      <c r="D82" s="417">
        <f>ROUND(C82*1.05,-1)</f>
        <v>2420</v>
      </c>
      <c r="E82" s="417">
        <f t="shared" ref="E82:L82" si="4">ROUND(D82*1.05,-1)</f>
        <v>2540</v>
      </c>
      <c r="F82" s="417">
        <f t="shared" si="4"/>
        <v>2670</v>
      </c>
      <c r="G82" s="417">
        <f t="shared" si="4"/>
        <v>2800</v>
      </c>
      <c r="H82" s="417">
        <f t="shared" si="4"/>
        <v>2940</v>
      </c>
      <c r="I82" s="417">
        <f t="shared" si="4"/>
        <v>3090</v>
      </c>
      <c r="J82" s="417">
        <f t="shared" si="4"/>
        <v>3240</v>
      </c>
      <c r="K82" s="417">
        <f t="shared" si="4"/>
        <v>3400</v>
      </c>
      <c r="L82" s="417">
        <f t="shared" si="4"/>
        <v>3570</v>
      </c>
    </row>
    <row r="83" spans="1:12" hidden="1" x14ac:dyDescent="0.2">
      <c r="A83" s="566" t="s">
        <v>230</v>
      </c>
      <c r="B83" s="562" t="s">
        <v>838</v>
      </c>
      <c r="C83" s="417"/>
      <c r="D83" s="417"/>
      <c r="E83" s="417"/>
      <c r="F83" s="417"/>
      <c r="G83" s="417"/>
      <c r="H83" s="417"/>
      <c r="I83" s="417"/>
    </row>
    <row r="84" spans="1:12" hidden="1" x14ac:dyDescent="0.2">
      <c r="B84" s="571" t="s">
        <v>839</v>
      </c>
      <c r="C84" s="417">
        <v>1500</v>
      </c>
      <c r="D84" s="417"/>
      <c r="E84" s="417"/>
      <c r="F84" s="417"/>
      <c r="G84" s="417"/>
      <c r="H84" s="417"/>
      <c r="I84" s="417"/>
    </row>
    <row r="85" spans="1:12" hidden="1" x14ac:dyDescent="0.2">
      <c r="B85" s="571" t="s">
        <v>840</v>
      </c>
      <c r="C85" s="417">
        <v>1000</v>
      </c>
      <c r="D85" s="417"/>
      <c r="E85" s="417"/>
      <c r="F85" s="417"/>
      <c r="G85" s="417"/>
      <c r="H85" s="417"/>
      <c r="I85" s="417"/>
    </row>
    <row r="87" spans="1:12" x14ac:dyDescent="0.2">
      <c r="A87" s="566">
        <v>11</v>
      </c>
      <c r="B87" s="564" t="s">
        <v>841</v>
      </c>
      <c r="C87" s="562" t="s">
        <v>842</v>
      </c>
    </row>
    <row r="89" spans="1:12" x14ac:dyDescent="0.2">
      <c r="A89" s="566">
        <v>12</v>
      </c>
      <c r="B89" s="588" t="s">
        <v>843</v>
      </c>
      <c r="C89" s="403" t="s">
        <v>2</v>
      </c>
      <c r="D89" s="403" t="s">
        <v>3</v>
      </c>
      <c r="E89" s="403" t="s">
        <v>4</v>
      </c>
      <c r="F89" s="403" t="s">
        <v>5</v>
      </c>
      <c r="G89" s="403" t="s">
        <v>6</v>
      </c>
      <c r="H89" s="403" t="s">
        <v>163</v>
      </c>
      <c r="I89" s="403" t="s">
        <v>162</v>
      </c>
      <c r="J89" s="403" t="s">
        <v>658</v>
      </c>
      <c r="K89" s="403" t="s">
        <v>659</v>
      </c>
      <c r="L89" s="403" t="s">
        <v>660</v>
      </c>
    </row>
    <row r="90" spans="1:12" x14ac:dyDescent="0.2">
      <c r="B90" s="564" t="s">
        <v>888</v>
      </c>
      <c r="C90" s="403"/>
      <c r="D90" s="403"/>
      <c r="E90" s="403"/>
      <c r="F90" s="403"/>
      <c r="G90" s="403"/>
      <c r="H90" s="403"/>
      <c r="I90" s="403"/>
      <c r="J90" s="403"/>
      <c r="K90" s="403"/>
      <c r="L90" s="403"/>
    </row>
    <row r="91" spans="1:12" x14ac:dyDescent="0.2">
      <c r="A91" s="565" t="s">
        <v>229</v>
      </c>
      <c r="B91" s="562" t="str">
        <f>+B29</f>
        <v>Flax Oil</v>
      </c>
      <c r="C91" s="417">
        <v>0</v>
      </c>
      <c r="D91" s="417">
        <f>ROUND(C91*1.05,-1)</f>
        <v>0</v>
      </c>
      <c r="E91" s="417">
        <f t="shared" ref="E91:L91" si="5">ROUND(D91*1.05,-1)</f>
        <v>0</v>
      </c>
      <c r="F91" s="417">
        <f t="shared" si="5"/>
        <v>0</v>
      </c>
      <c r="G91" s="417">
        <f t="shared" si="5"/>
        <v>0</v>
      </c>
      <c r="H91" s="417">
        <f t="shared" si="5"/>
        <v>0</v>
      </c>
      <c r="I91" s="417">
        <f t="shared" si="5"/>
        <v>0</v>
      </c>
      <c r="J91" s="417">
        <f t="shared" si="5"/>
        <v>0</v>
      </c>
      <c r="K91" s="417">
        <f t="shared" si="5"/>
        <v>0</v>
      </c>
      <c r="L91" s="417">
        <f t="shared" si="5"/>
        <v>0</v>
      </c>
    </row>
    <row r="92" spans="1:12" x14ac:dyDescent="0.2">
      <c r="A92" s="565"/>
      <c r="B92" s="332" t="s">
        <v>925</v>
      </c>
      <c r="C92" s="417">
        <v>155</v>
      </c>
      <c r="D92" s="417">
        <f t="shared" ref="D92:D95" si="6">ROUND(C92*1.05,-1)</f>
        <v>160</v>
      </c>
      <c r="E92" s="417">
        <f t="shared" ref="E92:E95" si="7">ROUND(D92*1.05,-1)</f>
        <v>170</v>
      </c>
      <c r="F92" s="417">
        <f t="shared" ref="F92:F95" si="8">ROUND(E92*1.05,-1)</f>
        <v>180</v>
      </c>
      <c r="G92" s="417">
        <f t="shared" ref="G92:G95" si="9">ROUND(F92*1.05,-1)</f>
        <v>190</v>
      </c>
      <c r="H92" s="417">
        <f t="shared" ref="H92:H95" si="10">ROUND(G92*1.05,-1)</f>
        <v>200</v>
      </c>
      <c r="I92" s="417">
        <f t="shared" ref="I92:I95" si="11">ROUND(H92*1.05,-1)</f>
        <v>210</v>
      </c>
      <c r="J92" s="417">
        <f t="shared" ref="J92:J95" si="12">ROUND(I92*1.05,-1)</f>
        <v>220</v>
      </c>
      <c r="K92" s="417">
        <f t="shared" ref="K92:K95" si="13">ROUND(J92*1.05,-1)</f>
        <v>230</v>
      </c>
      <c r="L92" s="417">
        <f t="shared" ref="L92:L95" si="14">ROUND(K92*1.05,-1)</f>
        <v>240</v>
      </c>
    </row>
    <row r="93" spans="1:12" x14ac:dyDescent="0.2">
      <c r="A93" s="565"/>
      <c r="B93" s="332" t="s">
        <v>924</v>
      </c>
      <c r="C93" s="417">
        <f>+(C92*5)-50</f>
        <v>725</v>
      </c>
      <c r="D93" s="417">
        <f t="shared" si="6"/>
        <v>760</v>
      </c>
      <c r="E93" s="417">
        <f t="shared" si="7"/>
        <v>800</v>
      </c>
      <c r="F93" s="417">
        <f t="shared" si="8"/>
        <v>840</v>
      </c>
      <c r="G93" s="417">
        <f t="shared" si="9"/>
        <v>880</v>
      </c>
      <c r="H93" s="417">
        <f t="shared" si="10"/>
        <v>920</v>
      </c>
      <c r="I93" s="417">
        <f t="shared" si="11"/>
        <v>970</v>
      </c>
      <c r="J93" s="417">
        <f t="shared" si="12"/>
        <v>1020</v>
      </c>
      <c r="K93" s="417">
        <f t="shared" si="13"/>
        <v>1070</v>
      </c>
      <c r="L93" s="417">
        <f t="shared" si="14"/>
        <v>1120</v>
      </c>
    </row>
    <row r="94" spans="1:12" x14ac:dyDescent="0.2">
      <c r="A94" s="565"/>
      <c r="B94" s="332" t="s">
        <v>926</v>
      </c>
      <c r="C94" s="417">
        <f>+C92+3</f>
        <v>158</v>
      </c>
      <c r="D94" s="417">
        <f t="shared" si="6"/>
        <v>170</v>
      </c>
      <c r="E94" s="417">
        <f t="shared" si="7"/>
        <v>180</v>
      </c>
      <c r="F94" s="417">
        <f t="shared" si="8"/>
        <v>190</v>
      </c>
      <c r="G94" s="417">
        <f t="shared" si="9"/>
        <v>200</v>
      </c>
      <c r="H94" s="417">
        <f t="shared" si="10"/>
        <v>210</v>
      </c>
      <c r="I94" s="417">
        <f t="shared" si="11"/>
        <v>220</v>
      </c>
      <c r="J94" s="417">
        <f t="shared" si="12"/>
        <v>230</v>
      </c>
      <c r="K94" s="417">
        <f t="shared" si="13"/>
        <v>240</v>
      </c>
      <c r="L94" s="417">
        <f t="shared" si="14"/>
        <v>250</v>
      </c>
    </row>
    <row r="95" spans="1:12" x14ac:dyDescent="0.2">
      <c r="A95" s="565"/>
      <c r="B95" s="332" t="s">
        <v>927</v>
      </c>
      <c r="C95" s="417">
        <v>87</v>
      </c>
      <c r="D95" s="417">
        <f t="shared" si="6"/>
        <v>90</v>
      </c>
      <c r="E95" s="417">
        <f t="shared" si="7"/>
        <v>90</v>
      </c>
      <c r="F95" s="417">
        <f t="shared" si="8"/>
        <v>90</v>
      </c>
      <c r="G95" s="417">
        <f t="shared" si="9"/>
        <v>90</v>
      </c>
      <c r="H95" s="417">
        <f t="shared" si="10"/>
        <v>90</v>
      </c>
      <c r="I95" s="417">
        <f t="shared" si="11"/>
        <v>90</v>
      </c>
      <c r="J95" s="417">
        <f t="shared" si="12"/>
        <v>90</v>
      </c>
      <c r="K95" s="417">
        <f t="shared" si="13"/>
        <v>90</v>
      </c>
      <c r="L95" s="417">
        <f t="shared" si="14"/>
        <v>90</v>
      </c>
    </row>
    <row r="96" spans="1:12" x14ac:dyDescent="0.2">
      <c r="A96" s="565" t="s">
        <v>230</v>
      </c>
      <c r="B96" s="562" t="str">
        <f>+B30</f>
        <v>Oil Cake</v>
      </c>
      <c r="C96" s="417">
        <v>23500</v>
      </c>
      <c r="D96" s="417">
        <f>ROUND(C96*1.05,-1)</f>
        <v>24680</v>
      </c>
      <c r="E96" s="417">
        <f t="shared" ref="E96:L96" si="15">ROUND(D96*1.05,-1)</f>
        <v>25910</v>
      </c>
      <c r="F96" s="417">
        <f t="shared" si="15"/>
        <v>27210</v>
      </c>
      <c r="G96" s="417">
        <f t="shared" si="15"/>
        <v>28570</v>
      </c>
      <c r="H96" s="417">
        <f t="shared" si="15"/>
        <v>30000</v>
      </c>
      <c r="I96" s="417">
        <f t="shared" si="15"/>
        <v>31500</v>
      </c>
      <c r="J96" s="417">
        <f t="shared" si="15"/>
        <v>33080</v>
      </c>
      <c r="K96" s="417">
        <f t="shared" si="15"/>
        <v>34730</v>
      </c>
      <c r="L96" s="417">
        <f t="shared" si="15"/>
        <v>36470</v>
      </c>
    </row>
    <row r="97" spans="1:12" x14ac:dyDescent="0.2">
      <c r="A97" s="565" t="s">
        <v>266</v>
      </c>
      <c r="B97" s="562" t="str">
        <f>+B31</f>
        <v>Waste</v>
      </c>
      <c r="C97" s="417">
        <v>0</v>
      </c>
      <c r="D97" s="417">
        <f>ROUND(C97*1.05,-1)</f>
        <v>0</v>
      </c>
      <c r="E97" s="417">
        <f t="shared" ref="E97:L97" si="16">ROUND(D97*1.05,-1)</f>
        <v>0</v>
      </c>
      <c r="F97" s="417">
        <f t="shared" si="16"/>
        <v>0</v>
      </c>
      <c r="G97" s="417">
        <f t="shared" si="16"/>
        <v>0</v>
      </c>
      <c r="H97" s="417">
        <f t="shared" si="16"/>
        <v>0</v>
      </c>
      <c r="I97" s="417">
        <f t="shared" si="16"/>
        <v>0</v>
      </c>
      <c r="J97" s="417">
        <f t="shared" si="16"/>
        <v>0</v>
      </c>
      <c r="K97" s="417">
        <f t="shared" si="16"/>
        <v>0</v>
      </c>
      <c r="L97" s="417">
        <f t="shared" si="16"/>
        <v>0</v>
      </c>
    </row>
    <row r="98" spans="1:12" hidden="1" x14ac:dyDescent="0.2">
      <c r="A98" s="565" t="s">
        <v>268</v>
      </c>
      <c r="B98" s="562" t="s">
        <v>850</v>
      </c>
      <c r="C98" s="417">
        <v>12000</v>
      </c>
      <c r="D98" s="417">
        <v>12600</v>
      </c>
      <c r="E98" s="417">
        <v>13230</v>
      </c>
      <c r="F98" s="417">
        <v>13890</v>
      </c>
      <c r="G98" s="417">
        <v>14580</v>
      </c>
      <c r="H98" s="417">
        <v>15310</v>
      </c>
      <c r="I98" s="417">
        <v>16080</v>
      </c>
      <c r="J98" s="417">
        <v>16880</v>
      </c>
      <c r="K98" s="417">
        <v>17720</v>
      </c>
      <c r="L98" s="417">
        <v>18610</v>
      </c>
    </row>
    <row r="99" spans="1:12" hidden="1" x14ac:dyDescent="0.2">
      <c r="A99" s="565" t="s">
        <v>321</v>
      </c>
      <c r="B99" s="562" t="s">
        <v>851</v>
      </c>
      <c r="C99" s="417">
        <v>12000</v>
      </c>
      <c r="D99" s="417">
        <v>12600</v>
      </c>
      <c r="E99" s="417">
        <v>13230</v>
      </c>
      <c r="F99" s="417">
        <v>13890</v>
      </c>
      <c r="G99" s="417">
        <v>14580</v>
      </c>
      <c r="H99" s="417">
        <v>15310</v>
      </c>
      <c r="I99" s="417">
        <v>16080</v>
      </c>
      <c r="J99" s="417">
        <v>16880</v>
      </c>
      <c r="K99" s="417">
        <v>17720</v>
      </c>
      <c r="L99" s="417">
        <v>18610</v>
      </c>
    </row>
    <row r="100" spans="1:12" x14ac:dyDescent="0.2">
      <c r="A100" s="565"/>
      <c r="C100" s="417"/>
      <c r="D100" s="417"/>
      <c r="E100" s="417"/>
      <c r="F100" s="417"/>
      <c r="G100" s="417"/>
      <c r="H100" s="417"/>
      <c r="I100" s="417"/>
      <c r="J100" s="417"/>
      <c r="K100" s="417"/>
      <c r="L100" s="417"/>
    </row>
    <row r="101" spans="1:12" x14ac:dyDescent="0.2">
      <c r="A101" s="565"/>
      <c r="B101" s="564" t="s">
        <v>972</v>
      </c>
      <c r="C101" s="417"/>
      <c r="D101" s="417"/>
      <c r="E101" s="417"/>
      <c r="F101" s="417"/>
      <c r="G101" s="417"/>
      <c r="H101" s="417"/>
      <c r="I101" s="417"/>
      <c r="J101" s="417"/>
      <c r="K101" s="417"/>
      <c r="L101" s="417"/>
    </row>
    <row r="102" spans="1:12" x14ac:dyDescent="0.2">
      <c r="A102" s="565" t="s">
        <v>229</v>
      </c>
      <c r="B102" s="564" t="str">
        <f>+B36</f>
        <v>Safflower Oil</v>
      </c>
      <c r="C102" s="562">
        <v>0</v>
      </c>
      <c r="D102" s="417">
        <f>ROUND(C102*1.05,-1)</f>
        <v>0</v>
      </c>
      <c r="E102" s="417">
        <f>ROUND(D102*1.05,-1)</f>
        <v>0</v>
      </c>
      <c r="F102" s="417">
        <f t="shared" ref="F102:L107" si="17">ROUND(E102*1.05,-1)</f>
        <v>0</v>
      </c>
      <c r="G102" s="417">
        <f t="shared" si="17"/>
        <v>0</v>
      </c>
      <c r="H102" s="417">
        <f t="shared" si="17"/>
        <v>0</v>
      </c>
      <c r="I102" s="417">
        <f t="shared" si="17"/>
        <v>0</v>
      </c>
      <c r="J102" s="417">
        <f t="shared" si="17"/>
        <v>0</v>
      </c>
      <c r="K102" s="417">
        <f t="shared" si="17"/>
        <v>0</v>
      </c>
      <c r="L102" s="417">
        <f t="shared" si="17"/>
        <v>0</v>
      </c>
    </row>
    <row r="103" spans="1:12" x14ac:dyDescent="0.2">
      <c r="A103" s="565"/>
      <c r="B103" s="562" t="str">
        <f>+$B$92</f>
        <v>1 Ltr Bottle</v>
      </c>
      <c r="C103" s="562">
        <v>165</v>
      </c>
      <c r="D103" s="417">
        <f t="shared" ref="D103:D106" si="18">ROUND(C103*1.05,-1)</f>
        <v>170</v>
      </c>
      <c r="E103" s="417">
        <f t="shared" ref="E103:E106" si="19">ROUND(D103*1.05,-1)</f>
        <v>180</v>
      </c>
      <c r="F103" s="417">
        <f t="shared" si="17"/>
        <v>190</v>
      </c>
      <c r="G103" s="417">
        <f t="shared" si="17"/>
        <v>200</v>
      </c>
      <c r="H103" s="417">
        <f t="shared" si="17"/>
        <v>210</v>
      </c>
      <c r="I103" s="417">
        <f t="shared" si="17"/>
        <v>220</v>
      </c>
      <c r="J103" s="417">
        <f t="shared" si="17"/>
        <v>230</v>
      </c>
      <c r="K103" s="417">
        <f t="shared" si="17"/>
        <v>240</v>
      </c>
      <c r="L103" s="417">
        <f t="shared" si="17"/>
        <v>250</v>
      </c>
    </row>
    <row r="104" spans="1:12" x14ac:dyDescent="0.2">
      <c r="A104" s="565"/>
      <c r="B104" s="562" t="str">
        <f>+$B$93</f>
        <v>5 Ltr Bottle</v>
      </c>
      <c r="C104" s="562">
        <v>775</v>
      </c>
      <c r="D104" s="417">
        <f t="shared" si="18"/>
        <v>810</v>
      </c>
      <c r="E104" s="417">
        <f t="shared" si="19"/>
        <v>850</v>
      </c>
      <c r="F104" s="417">
        <f t="shared" si="17"/>
        <v>890</v>
      </c>
      <c r="G104" s="417">
        <f t="shared" si="17"/>
        <v>930</v>
      </c>
      <c r="H104" s="417">
        <f t="shared" si="17"/>
        <v>980</v>
      </c>
      <c r="I104" s="417">
        <f t="shared" si="17"/>
        <v>1030</v>
      </c>
      <c r="J104" s="417">
        <f t="shared" si="17"/>
        <v>1080</v>
      </c>
      <c r="K104" s="417">
        <f t="shared" si="17"/>
        <v>1130</v>
      </c>
      <c r="L104" s="417">
        <f t="shared" si="17"/>
        <v>1190</v>
      </c>
    </row>
    <row r="105" spans="1:12" x14ac:dyDescent="0.2">
      <c r="A105" s="565"/>
      <c r="B105" s="562" t="str">
        <f>+$B$94</f>
        <v>1Ltr Pouch</v>
      </c>
      <c r="C105" s="562">
        <f>+C103+3</f>
        <v>168</v>
      </c>
      <c r="D105" s="417">
        <f t="shared" si="18"/>
        <v>180</v>
      </c>
      <c r="E105" s="417">
        <f t="shared" si="19"/>
        <v>190</v>
      </c>
      <c r="F105" s="417">
        <f t="shared" si="17"/>
        <v>200</v>
      </c>
      <c r="G105" s="417">
        <f t="shared" si="17"/>
        <v>210</v>
      </c>
      <c r="H105" s="417">
        <f t="shared" si="17"/>
        <v>220</v>
      </c>
      <c r="I105" s="417">
        <f t="shared" si="17"/>
        <v>230</v>
      </c>
      <c r="J105" s="417">
        <f t="shared" si="17"/>
        <v>240</v>
      </c>
      <c r="K105" s="417">
        <f t="shared" si="17"/>
        <v>250</v>
      </c>
      <c r="L105" s="417">
        <f t="shared" si="17"/>
        <v>260</v>
      </c>
    </row>
    <row r="106" spans="1:12" x14ac:dyDescent="0.2">
      <c r="A106" s="565"/>
      <c r="B106" s="562" t="str">
        <f>+$B$95</f>
        <v>500 ML Pouch</v>
      </c>
      <c r="C106" s="562">
        <v>85</v>
      </c>
      <c r="D106" s="417">
        <f t="shared" si="18"/>
        <v>90</v>
      </c>
      <c r="E106" s="417">
        <f t="shared" si="19"/>
        <v>90</v>
      </c>
      <c r="F106" s="417">
        <f t="shared" si="17"/>
        <v>90</v>
      </c>
      <c r="G106" s="417">
        <f t="shared" si="17"/>
        <v>90</v>
      </c>
      <c r="H106" s="417">
        <f t="shared" si="17"/>
        <v>90</v>
      </c>
      <c r="I106" s="417">
        <f t="shared" si="17"/>
        <v>90</v>
      </c>
      <c r="J106" s="417">
        <f t="shared" si="17"/>
        <v>90</v>
      </c>
      <c r="K106" s="417">
        <f t="shared" si="17"/>
        <v>90</v>
      </c>
      <c r="L106" s="417">
        <f t="shared" si="17"/>
        <v>90</v>
      </c>
    </row>
    <row r="107" spans="1:12" x14ac:dyDescent="0.2">
      <c r="A107" s="565" t="s">
        <v>230</v>
      </c>
      <c r="B107" s="562" t="str">
        <f>+B37</f>
        <v>Oil Cake</v>
      </c>
      <c r="C107" s="562">
        <v>20000</v>
      </c>
      <c r="D107" s="417">
        <f>ROUND(C107*1.05,-1)</f>
        <v>21000</v>
      </c>
      <c r="E107" s="417">
        <f t="shared" ref="E107" si="20">ROUND(D107*1.05,-1)</f>
        <v>22050</v>
      </c>
      <c r="F107" s="417">
        <f t="shared" si="17"/>
        <v>23150</v>
      </c>
      <c r="G107" s="417">
        <f t="shared" si="17"/>
        <v>24310</v>
      </c>
      <c r="H107" s="417">
        <f t="shared" si="17"/>
        <v>25530</v>
      </c>
      <c r="I107" s="417">
        <f t="shared" si="17"/>
        <v>26810</v>
      </c>
      <c r="J107" s="417">
        <f t="shared" si="17"/>
        <v>28150</v>
      </c>
      <c r="K107" s="417">
        <f t="shared" si="17"/>
        <v>29560</v>
      </c>
      <c r="L107" s="417">
        <f t="shared" si="17"/>
        <v>31040</v>
      </c>
    </row>
    <row r="108" spans="1:12" x14ac:dyDescent="0.2">
      <c r="A108" s="565" t="s">
        <v>266</v>
      </c>
      <c r="B108" s="562" t="str">
        <f>+B38</f>
        <v>Waste</v>
      </c>
    </row>
    <row r="109" spans="1:12" x14ac:dyDescent="0.2">
      <c r="A109" s="565"/>
    </row>
    <row r="110" spans="1:12" hidden="1" x14ac:dyDescent="0.2">
      <c r="A110" s="565"/>
      <c r="B110" s="564" t="s">
        <v>664</v>
      </c>
    </row>
    <row r="111" spans="1:12" hidden="1" x14ac:dyDescent="0.2">
      <c r="A111" s="565"/>
      <c r="B111" s="562" t="s">
        <v>636</v>
      </c>
      <c r="C111" s="562">
        <v>35000</v>
      </c>
      <c r="D111" s="562">
        <v>36750</v>
      </c>
      <c r="E111" s="562">
        <v>38590</v>
      </c>
      <c r="F111" s="562">
        <v>40520</v>
      </c>
      <c r="G111" s="562">
        <v>42550</v>
      </c>
      <c r="H111" s="562">
        <v>44680</v>
      </c>
      <c r="I111" s="562">
        <v>46910</v>
      </c>
      <c r="J111" s="562">
        <v>49260</v>
      </c>
      <c r="K111" s="562">
        <v>51720</v>
      </c>
      <c r="L111" s="562">
        <v>54310</v>
      </c>
    </row>
    <row r="112" spans="1:12" hidden="1" x14ac:dyDescent="0.2">
      <c r="A112" s="565"/>
    </row>
    <row r="113" spans="1:12" x14ac:dyDescent="0.2">
      <c r="A113" s="565"/>
      <c r="B113" s="564" t="s">
        <v>889</v>
      </c>
    </row>
    <row r="114" spans="1:12" x14ac:dyDescent="0.2">
      <c r="A114" s="565" t="s">
        <v>229</v>
      </c>
      <c r="B114" s="562" t="str">
        <f>+B43</f>
        <v>Mustard  Oil</v>
      </c>
      <c r="C114" s="583">
        <v>0</v>
      </c>
      <c r="D114" s="417">
        <f>ROUND(C114*1.05,-1)</f>
        <v>0</v>
      </c>
      <c r="E114" s="417">
        <f t="shared" ref="E114:L117" si="21">ROUND(D114*1.05,-1)</f>
        <v>0</v>
      </c>
      <c r="F114" s="417">
        <f t="shared" si="21"/>
        <v>0</v>
      </c>
      <c r="G114" s="417">
        <f t="shared" si="21"/>
        <v>0</v>
      </c>
      <c r="H114" s="417">
        <f t="shared" si="21"/>
        <v>0</v>
      </c>
      <c r="I114" s="417">
        <f t="shared" si="21"/>
        <v>0</v>
      </c>
      <c r="J114" s="417">
        <f t="shared" si="21"/>
        <v>0</v>
      </c>
      <c r="K114" s="417">
        <f t="shared" si="21"/>
        <v>0</v>
      </c>
      <c r="L114" s="417">
        <f t="shared" si="21"/>
        <v>0</v>
      </c>
    </row>
    <row r="115" spans="1:12" x14ac:dyDescent="0.2">
      <c r="A115" s="565"/>
      <c r="B115" s="562" t="str">
        <f>+$B$92</f>
        <v>1 Ltr Bottle</v>
      </c>
      <c r="C115" s="583">
        <v>145</v>
      </c>
      <c r="D115" s="417">
        <f t="shared" ref="D115:D117" si="22">ROUND(C115*1.05,-1)</f>
        <v>150</v>
      </c>
      <c r="E115" s="417">
        <f t="shared" si="21"/>
        <v>160</v>
      </c>
      <c r="F115" s="417">
        <f t="shared" si="21"/>
        <v>170</v>
      </c>
      <c r="G115" s="417">
        <f t="shared" si="21"/>
        <v>180</v>
      </c>
      <c r="H115" s="417">
        <f t="shared" si="21"/>
        <v>190</v>
      </c>
      <c r="I115" s="417">
        <f t="shared" si="21"/>
        <v>200</v>
      </c>
      <c r="J115" s="417">
        <f t="shared" si="21"/>
        <v>210</v>
      </c>
      <c r="K115" s="417">
        <f t="shared" si="21"/>
        <v>220</v>
      </c>
      <c r="L115" s="417">
        <f t="shared" si="21"/>
        <v>230</v>
      </c>
    </row>
    <row r="116" spans="1:12" x14ac:dyDescent="0.2">
      <c r="A116" s="565"/>
      <c r="B116" s="562" t="str">
        <f>+$B$93</f>
        <v>5 Ltr Bottle</v>
      </c>
      <c r="C116" s="583">
        <v>710</v>
      </c>
      <c r="D116" s="417">
        <f t="shared" si="22"/>
        <v>750</v>
      </c>
      <c r="E116" s="417">
        <f t="shared" si="21"/>
        <v>790</v>
      </c>
      <c r="F116" s="417">
        <f t="shared" si="21"/>
        <v>830</v>
      </c>
      <c r="G116" s="417">
        <f t="shared" si="21"/>
        <v>870</v>
      </c>
      <c r="H116" s="417">
        <f t="shared" si="21"/>
        <v>910</v>
      </c>
      <c r="I116" s="417">
        <f t="shared" si="21"/>
        <v>960</v>
      </c>
      <c r="J116" s="417">
        <f t="shared" si="21"/>
        <v>1010</v>
      </c>
      <c r="K116" s="417">
        <f t="shared" si="21"/>
        <v>1060</v>
      </c>
      <c r="L116" s="417">
        <f t="shared" si="21"/>
        <v>1110</v>
      </c>
    </row>
    <row r="117" spans="1:12" x14ac:dyDescent="0.2">
      <c r="A117" s="565"/>
      <c r="B117" s="562" t="str">
        <f>+$B$94</f>
        <v>1Ltr Pouch</v>
      </c>
      <c r="C117" s="583">
        <f>+C115+3</f>
        <v>148</v>
      </c>
      <c r="D117" s="417">
        <f t="shared" si="22"/>
        <v>160</v>
      </c>
      <c r="E117" s="417">
        <f t="shared" si="21"/>
        <v>170</v>
      </c>
      <c r="F117" s="417">
        <f t="shared" si="21"/>
        <v>180</v>
      </c>
      <c r="G117" s="417">
        <f t="shared" si="21"/>
        <v>190</v>
      </c>
      <c r="H117" s="417">
        <f t="shared" si="21"/>
        <v>200</v>
      </c>
      <c r="I117" s="417">
        <f t="shared" si="21"/>
        <v>210</v>
      </c>
      <c r="J117" s="417">
        <f t="shared" si="21"/>
        <v>220</v>
      </c>
      <c r="K117" s="417">
        <f t="shared" si="21"/>
        <v>230</v>
      </c>
      <c r="L117" s="417">
        <f t="shared" si="21"/>
        <v>240</v>
      </c>
    </row>
    <row r="118" spans="1:12" x14ac:dyDescent="0.2">
      <c r="A118" s="565"/>
      <c r="B118" s="562" t="str">
        <f>+$B$95</f>
        <v>500 ML Pouch</v>
      </c>
      <c r="C118" s="583">
        <v>75</v>
      </c>
      <c r="D118" s="417">
        <f>ROUND(C118*1.05,1)</f>
        <v>78.8</v>
      </c>
      <c r="E118" s="417">
        <f t="shared" ref="E118:L118" si="23">ROUND(D118*1.05,1)</f>
        <v>82.7</v>
      </c>
      <c r="F118" s="417">
        <f t="shared" si="23"/>
        <v>86.8</v>
      </c>
      <c r="G118" s="417">
        <f t="shared" si="23"/>
        <v>91.1</v>
      </c>
      <c r="H118" s="417">
        <f t="shared" si="23"/>
        <v>95.7</v>
      </c>
      <c r="I118" s="417">
        <f t="shared" si="23"/>
        <v>100.5</v>
      </c>
      <c r="J118" s="417">
        <f t="shared" si="23"/>
        <v>105.5</v>
      </c>
      <c r="K118" s="417">
        <f t="shared" si="23"/>
        <v>110.8</v>
      </c>
      <c r="L118" s="417">
        <f t="shared" si="23"/>
        <v>116.3</v>
      </c>
    </row>
    <row r="119" spans="1:12" x14ac:dyDescent="0.2">
      <c r="A119" s="565"/>
      <c r="C119" s="583"/>
      <c r="D119" s="417"/>
      <c r="E119" s="417"/>
      <c r="F119" s="417"/>
      <c r="G119" s="417"/>
      <c r="H119" s="417"/>
      <c r="I119" s="417"/>
      <c r="J119" s="417"/>
      <c r="K119" s="417"/>
      <c r="L119" s="417"/>
    </row>
    <row r="120" spans="1:12" x14ac:dyDescent="0.2">
      <c r="A120" s="565" t="s">
        <v>230</v>
      </c>
      <c r="B120" s="562" t="str">
        <f>+B44</f>
        <v>Oil Cake</v>
      </c>
      <c r="C120" s="583">
        <v>23500</v>
      </c>
      <c r="D120" s="417">
        <f>ROUND(C120*1.05,-1)</f>
        <v>24680</v>
      </c>
      <c r="E120" s="417">
        <f t="shared" ref="E120" si="24">ROUND(D120*1.05,-1)</f>
        <v>25910</v>
      </c>
      <c r="F120" s="417">
        <f t="shared" ref="F120" si="25">ROUND(E120*1.05,-1)</f>
        <v>27210</v>
      </c>
      <c r="G120" s="417">
        <f t="shared" ref="G120" si="26">ROUND(F120*1.05,-1)</f>
        <v>28570</v>
      </c>
      <c r="H120" s="417">
        <f t="shared" ref="H120" si="27">ROUND(G120*1.05,-1)</f>
        <v>30000</v>
      </c>
      <c r="I120" s="417">
        <f t="shared" ref="I120" si="28">ROUND(H120*1.05,-1)</f>
        <v>31500</v>
      </c>
      <c r="J120" s="417">
        <f t="shared" ref="J120" si="29">ROUND(I120*1.05,-1)</f>
        <v>33080</v>
      </c>
      <c r="K120" s="417">
        <f t="shared" ref="K120" si="30">ROUND(J120*1.05,-1)</f>
        <v>34730</v>
      </c>
      <c r="L120" s="417">
        <f t="shared" ref="L120" si="31">ROUND(K120*1.05,-1)</f>
        <v>36470</v>
      </c>
    </row>
    <row r="121" spans="1:12" x14ac:dyDescent="0.2">
      <c r="A121" s="565" t="s">
        <v>266</v>
      </c>
      <c r="B121" s="562" t="str">
        <f>+B45</f>
        <v>Waste</v>
      </c>
      <c r="C121" s="583"/>
      <c r="D121" s="417"/>
      <c r="E121" s="417"/>
      <c r="F121" s="417"/>
      <c r="G121" s="417"/>
      <c r="H121" s="417"/>
      <c r="I121" s="417"/>
      <c r="J121" s="417"/>
      <c r="K121" s="417"/>
      <c r="L121" s="417"/>
    </row>
    <row r="122" spans="1:12" x14ac:dyDescent="0.2">
      <c r="A122" s="565"/>
    </row>
    <row r="123" spans="1:12" x14ac:dyDescent="0.2">
      <c r="A123" s="565"/>
      <c r="B123" s="564" t="s">
        <v>640</v>
      </c>
    </row>
    <row r="124" spans="1:12" x14ac:dyDescent="0.2">
      <c r="A124" s="565"/>
      <c r="B124" s="562" t="s">
        <v>636</v>
      </c>
      <c r="C124" s="417">
        <v>0</v>
      </c>
      <c r="D124" s="417">
        <f t="shared" ref="D124" si="32">ROUND(C124*1.05,-1)</f>
        <v>0</v>
      </c>
      <c r="E124" s="417">
        <f t="shared" ref="E124:L124" si="33">ROUND(D124*1.05,-1)</f>
        <v>0</v>
      </c>
      <c r="F124" s="417">
        <f t="shared" si="33"/>
        <v>0</v>
      </c>
      <c r="G124" s="417">
        <f t="shared" si="33"/>
        <v>0</v>
      </c>
      <c r="H124" s="417">
        <f t="shared" si="33"/>
        <v>0</v>
      </c>
      <c r="I124" s="417">
        <f t="shared" si="33"/>
        <v>0</v>
      </c>
      <c r="J124" s="417">
        <f t="shared" si="33"/>
        <v>0</v>
      </c>
      <c r="K124" s="417">
        <f t="shared" si="33"/>
        <v>0</v>
      </c>
      <c r="L124" s="417">
        <f t="shared" si="33"/>
        <v>0</v>
      </c>
    </row>
    <row r="125" spans="1:12" x14ac:dyDescent="0.2">
      <c r="A125" s="565"/>
      <c r="B125" s="562" t="s">
        <v>637</v>
      </c>
      <c r="C125" s="417">
        <v>0</v>
      </c>
      <c r="D125" s="417">
        <f t="shared" ref="D125:L125" si="34">ROUND(C125*1.05,-1)</f>
        <v>0</v>
      </c>
      <c r="E125" s="417">
        <f t="shared" si="34"/>
        <v>0</v>
      </c>
      <c r="F125" s="417">
        <f t="shared" si="34"/>
        <v>0</v>
      </c>
      <c r="G125" s="417">
        <f t="shared" si="34"/>
        <v>0</v>
      </c>
      <c r="H125" s="417">
        <f t="shared" si="34"/>
        <v>0</v>
      </c>
      <c r="I125" s="417">
        <f t="shared" si="34"/>
        <v>0</v>
      </c>
      <c r="J125" s="417">
        <f t="shared" si="34"/>
        <v>0</v>
      </c>
      <c r="K125" s="417">
        <f t="shared" si="34"/>
        <v>0</v>
      </c>
      <c r="L125" s="417">
        <f t="shared" si="34"/>
        <v>0</v>
      </c>
    </row>
    <row r="126" spans="1:12" x14ac:dyDescent="0.2">
      <c r="A126" s="565"/>
      <c r="B126" s="562" t="s">
        <v>650</v>
      </c>
      <c r="C126" s="417">
        <v>0</v>
      </c>
      <c r="D126" s="417">
        <f t="shared" ref="D126:L126" si="35">ROUND(C126*1.05,-1)</f>
        <v>0</v>
      </c>
      <c r="E126" s="417">
        <f t="shared" si="35"/>
        <v>0</v>
      </c>
      <c r="F126" s="417">
        <f t="shared" si="35"/>
        <v>0</v>
      </c>
      <c r="G126" s="417">
        <f t="shared" si="35"/>
        <v>0</v>
      </c>
      <c r="H126" s="417">
        <f t="shared" si="35"/>
        <v>0</v>
      </c>
      <c r="I126" s="417">
        <f t="shared" si="35"/>
        <v>0</v>
      </c>
      <c r="J126" s="417">
        <f t="shared" si="35"/>
        <v>0</v>
      </c>
      <c r="K126" s="417">
        <f t="shared" si="35"/>
        <v>0</v>
      </c>
      <c r="L126" s="417">
        <f t="shared" si="35"/>
        <v>0</v>
      </c>
    </row>
    <row r="127" spans="1:12" x14ac:dyDescent="0.2">
      <c r="A127" s="565"/>
    </row>
    <row r="128" spans="1:12" x14ac:dyDescent="0.2">
      <c r="A128" s="565"/>
      <c r="B128" s="564" t="s">
        <v>464</v>
      </c>
    </row>
    <row r="129" spans="1:12" x14ac:dyDescent="0.2">
      <c r="A129" s="565"/>
      <c r="B129" s="562" t="s">
        <v>654</v>
      </c>
      <c r="C129" s="417">
        <v>0</v>
      </c>
      <c r="D129" s="417">
        <f t="shared" ref="D129:L130" si="36">ROUND(C129*1.05,-1)</f>
        <v>0</v>
      </c>
      <c r="E129" s="417">
        <f t="shared" si="36"/>
        <v>0</v>
      </c>
      <c r="F129" s="417">
        <f t="shared" si="36"/>
        <v>0</v>
      </c>
      <c r="G129" s="417">
        <f t="shared" si="36"/>
        <v>0</v>
      </c>
      <c r="H129" s="417">
        <f t="shared" si="36"/>
        <v>0</v>
      </c>
      <c r="I129" s="417">
        <f t="shared" si="36"/>
        <v>0</v>
      </c>
      <c r="J129" s="417">
        <f t="shared" si="36"/>
        <v>0</v>
      </c>
      <c r="K129" s="417">
        <f t="shared" si="36"/>
        <v>0</v>
      </c>
      <c r="L129" s="417">
        <f t="shared" si="36"/>
        <v>0</v>
      </c>
    </row>
    <row r="130" spans="1:12" x14ac:dyDescent="0.2">
      <c r="A130" s="565"/>
      <c r="B130" s="562" t="s">
        <v>655</v>
      </c>
      <c r="C130" s="417">
        <v>0</v>
      </c>
      <c r="D130" s="417">
        <f t="shared" si="36"/>
        <v>0</v>
      </c>
      <c r="E130" s="417">
        <f t="shared" si="36"/>
        <v>0</v>
      </c>
      <c r="F130" s="417">
        <f t="shared" si="36"/>
        <v>0</v>
      </c>
      <c r="G130" s="417">
        <f t="shared" si="36"/>
        <v>0</v>
      </c>
      <c r="H130" s="417">
        <f t="shared" si="36"/>
        <v>0</v>
      </c>
      <c r="I130" s="417">
        <f t="shared" si="36"/>
        <v>0</v>
      </c>
      <c r="J130" s="417">
        <f t="shared" si="36"/>
        <v>0</v>
      </c>
      <c r="K130" s="417">
        <f t="shared" si="36"/>
        <v>0</v>
      </c>
      <c r="L130" s="417">
        <f t="shared" si="36"/>
        <v>0</v>
      </c>
    </row>
    <row r="131" spans="1:12" x14ac:dyDescent="0.2">
      <c r="A131" s="565"/>
      <c r="C131" s="417"/>
      <c r="D131" s="417"/>
      <c r="E131" s="417"/>
      <c r="F131" s="417"/>
      <c r="G131" s="417"/>
      <c r="H131" s="417"/>
      <c r="I131" s="417"/>
      <c r="J131" s="417"/>
      <c r="K131" s="417"/>
      <c r="L131" s="417"/>
    </row>
    <row r="132" spans="1:12" hidden="1" x14ac:dyDescent="0.2"/>
    <row r="133" spans="1:12" hidden="1" x14ac:dyDescent="0.2">
      <c r="A133" s="566">
        <v>13</v>
      </c>
      <c r="B133" s="564" t="s">
        <v>844</v>
      </c>
      <c r="C133" s="568">
        <v>0.09</v>
      </c>
    </row>
    <row r="134" spans="1:12" hidden="1" x14ac:dyDescent="0.2"/>
    <row r="135" spans="1:12" hidden="1" x14ac:dyDescent="0.2">
      <c r="A135" s="566">
        <v>14</v>
      </c>
      <c r="B135" s="564" t="s">
        <v>845</v>
      </c>
      <c r="C135" s="562" t="s">
        <v>846</v>
      </c>
    </row>
    <row r="137" spans="1:12" x14ac:dyDescent="0.2">
      <c r="A137" s="566">
        <v>13</v>
      </c>
      <c r="B137" s="564" t="s">
        <v>847</v>
      </c>
      <c r="C137" s="567">
        <v>0.26</v>
      </c>
    </row>
    <row r="139" spans="1:12" x14ac:dyDescent="0.2">
      <c r="A139" s="566">
        <v>14</v>
      </c>
      <c r="B139" s="564" t="s">
        <v>848</v>
      </c>
      <c r="C139" s="562" t="s">
        <v>830</v>
      </c>
    </row>
    <row r="141" spans="1:12" x14ac:dyDescent="0.2">
      <c r="A141" s="566">
        <v>15</v>
      </c>
      <c r="B141" s="564" t="s">
        <v>849</v>
      </c>
      <c r="C141" s="562" t="s">
        <v>854</v>
      </c>
    </row>
    <row r="143" spans="1:12" x14ac:dyDescent="0.2">
      <c r="A143" s="566">
        <v>16</v>
      </c>
      <c r="B143" s="562" t="s">
        <v>858</v>
      </c>
    </row>
    <row r="144" spans="1:12" x14ac:dyDescent="0.2">
      <c r="B144" s="328" t="s">
        <v>676</v>
      </c>
      <c r="C144" s="584">
        <v>0</v>
      </c>
    </row>
    <row r="145" spans="1:10" x14ac:dyDescent="0.2">
      <c r="B145" s="350" t="s">
        <v>677</v>
      </c>
      <c r="C145" s="348">
        <v>15</v>
      </c>
    </row>
    <row r="146" spans="1:10" x14ac:dyDescent="0.2">
      <c r="B146" s="350" t="s">
        <v>678</v>
      </c>
      <c r="C146" s="348">
        <v>12</v>
      </c>
    </row>
    <row r="147" spans="1:10" x14ac:dyDescent="0.2">
      <c r="B147" s="350" t="s">
        <v>686</v>
      </c>
      <c r="C147" s="351">
        <v>0</v>
      </c>
    </row>
    <row r="149" spans="1:10" x14ac:dyDescent="0.2">
      <c r="B149" s="356" t="s">
        <v>291</v>
      </c>
      <c r="C149" s="357">
        <v>0.55000000000000004</v>
      </c>
      <c r="D149" s="357">
        <f t="shared" ref="D149:I149" si="37">+C149+5%</f>
        <v>0.60000000000000009</v>
      </c>
      <c r="E149" s="357">
        <f t="shared" si="37"/>
        <v>0.65000000000000013</v>
      </c>
      <c r="F149" s="357">
        <f t="shared" si="37"/>
        <v>0.70000000000000018</v>
      </c>
      <c r="G149" s="357">
        <f t="shared" si="37"/>
        <v>0.75000000000000022</v>
      </c>
      <c r="H149" s="357">
        <f t="shared" si="37"/>
        <v>0.80000000000000027</v>
      </c>
      <c r="I149" s="357">
        <f t="shared" si="37"/>
        <v>0.85000000000000031</v>
      </c>
    </row>
    <row r="155" spans="1:10" customFormat="1" ht="29.25" x14ac:dyDescent="0.4">
      <c r="A155" s="557"/>
      <c r="B155" s="544" t="s">
        <v>756</v>
      </c>
      <c r="D155" s="365"/>
      <c r="E155" s="365"/>
      <c r="F155" s="365"/>
      <c r="G155" s="365"/>
      <c r="H155" s="365"/>
      <c r="I155" s="365"/>
      <c r="J155" s="365"/>
    </row>
    <row r="156" spans="1:10" customFormat="1" ht="23.25" x14ac:dyDescent="0.2">
      <c r="B156" s="550" t="s">
        <v>757</v>
      </c>
      <c r="C156" s="550" t="s">
        <v>0</v>
      </c>
      <c r="D156" s="551" t="s">
        <v>758</v>
      </c>
      <c r="E156" s="551"/>
      <c r="F156" s="551" t="s">
        <v>378</v>
      </c>
      <c r="G156" s="552" t="s">
        <v>759</v>
      </c>
      <c r="H156" s="552" t="s">
        <v>760</v>
      </c>
    </row>
    <row r="157" spans="1:10" customFormat="1" x14ac:dyDescent="0.2">
      <c r="B157" s="446">
        <v>1</v>
      </c>
      <c r="C157" s="367" t="s">
        <v>761</v>
      </c>
      <c r="D157" s="446" t="s">
        <v>762</v>
      </c>
      <c r="E157" s="446" t="s">
        <v>763</v>
      </c>
      <c r="F157" s="446">
        <v>0</v>
      </c>
      <c r="G157" s="368">
        <v>40000</v>
      </c>
      <c r="H157" s="368">
        <f t="shared" ref="H157:H163" si="38">F157*G157*12/100000</f>
        <v>0</v>
      </c>
    </row>
    <row r="158" spans="1:10" customFormat="1" x14ac:dyDescent="0.2">
      <c r="B158" s="446">
        <v>2</v>
      </c>
      <c r="C158" s="367" t="s">
        <v>764</v>
      </c>
      <c r="D158" s="446" t="s">
        <v>762</v>
      </c>
      <c r="E158" s="446" t="s">
        <v>765</v>
      </c>
      <c r="F158" s="446">
        <v>0</v>
      </c>
      <c r="G158" s="368">
        <v>18000</v>
      </c>
      <c r="H158" s="368">
        <f t="shared" si="38"/>
        <v>0</v>
      </c>
    </row>
    <row r="159" spans="1:10" customFormat="1" ht="23.25" x14ac:dyDescent="0.2">
      <c r="B159" s="446">
        <v>3</v>
      </c>
      <c r="C159" s="367" t="s">
        <v>766</v>
      </c>
      <c r="D159" s="446" t="s">
        <v>762</v>
      </c>
      <c r="E159" s="446" t="s">
        <v>765</v>
      </c>
      <c r="F159" s="446">
        <v>0</v>
      </c>
      <c r="G159" s="368">
        <v>18000</v>
      </c>
      <c r="H159" s="368">
        <f t="shared" si="38"/>
        <v>0</v>
      </c>
    </row>
    <row r="160" spans="1:10" customFormat="1" x14ac:dyDescent="0.2">
      <c r="B160" s="446">
        <v>4</v>
      </c>
      <c r="C160" s="447" t="s">
        <v>767</v>
      </c>
      <c r="D160" s="446" t="s">
        <v>762</v>
      </c>
      <c r="E160" s="446" t="s">
        <v>763</v>
      </c>
      <c r="F160" s="446">
        <v>1</v>
      </c>
      <c r="G160" s="368">
        <v>18000</v>
      </c>
      <c r="H160" s="368">
        <f t="shared" si="38"/>
        <v>2.16</v>
      </c>
    </row>
    <row r="161" spans="2:12" customFormat="1" x14ac:dyDescent="0.2">
      <c r="B161" s="446">
        <v>5</v>
      </c>
      <c r="C161" s="367" t="s">
        <v>183</v>
      </c>
      <c r="D161" s="446" t="s">
        <v>762</v>
      </c>
      <c r="E161" s="446" t="s">
        <v>765</v>
      </c>
      <c r="F161" s="446">
        <v>1</v>
      </c>
      <c r="G161" s="368">
        <v>9000</v>
      </c>
      <c r="H161" s="368">
        <f t="shared" si="38"/>
        <v>1.08</v>
      </c>
    </row>
    <row r="162" spans="2:12" customFormat="1" x14ac:dyDescent="0.2">
      <c r="B162" s="446">
        <v>6</v>
      </c>
      <c r="C162" s="367" t="s">
        <v>768</v>
      </c>
      <c r="D162" s="446" t="s">
        <v>762</v>
      </c>
      <c r="E162" s="446" t="s">
        <v>765</v>
      </c>
      <c r="F162" s="446">
        <v>1</v>
      </c>
      <c r="G162" s="368">
        <v>9000</v>
      </c>
      <c r="H162" s="368">
        <f t="shared" si="38"/>
        <v>1.08</v>
      </c>
    </row>
    <row r="163" spans="2:12" customFormat="1" x14ac:dyDescent="0.2">
      <c r="B163" s="446">
        <v>7</v>
      </c>
      <c r="C163" s="367" t="s">
        <v>769</v>
      </c>
      <c r="D163" s="446" t="s">
        <v>762</v>
      </c>
      <c r="E163" s="446" t="s">
        <v>763</v>
      </c>
      <c r="F163" s="446">
        <v>1</v>
      </c>
      <c r="G163" s="368">
        <v>7000</v>
      </c>
      <c r="H163" s="368">
        <f t="shared" si="38"/>
        <v>0.84</v>
      </c>
    </row>
    <row r="164" spans="2:12" customFormat="1" x14ac:dyDescent="0.2">
      <c r="B164" s="446"/>
      <c r="C164" s="367"/>
      <c r="D164" s="446"/>
      <c r="E164" s="446"/>
      <c r="F164" s="446"/>
      <c r="G164" s="368"/>
      <c r="H164" s="368"/>
    </row>
    <row r="165" spans="2:12" customFormat="1" x14ac:dyDescent="0.2">
      <c r="B165" s="446">
        <v>8</v>
      </c>
      <c r="C165" s="367" t="s">
        <v>770</v>
      </c>
      <c r="D165" s="446" t="s">
        <v>771</v>
      </c>
      <c r="E165" s="446" t="s">
        <v>763</v>
      </c>
      <c r="F165" s="446">
        <v>1</v>
      </c>
      <c r="G165" s="368">
        <v>18000</v>
      </c>
      <c r="H165" s="368">
        <f t="shared" ref="H165:H171" si="39">F165*G165*12/100000</f>
        <v>2.16</v>
      </c>
    </row>
    <row r="166" spans="2:12" customFormat="1" ht="23.25" x14ac:dyDescent="0.2">
      <c r="B166" s="446">
        <v>9</v>
      </c>
      <c r="C166" s="367" t="s">
        <v>772</v>
      </c>
      <c r="D166" s="446" t="s">
        <v>771</v>
      </c>
      <c r="E166" s="446" t="s">
        <v>763</v>
      </c>
      <c r="F166" s="446">
        <v>0</v>
      </c>
      <c r="G166" s="368">
        <v>15000</v>
      </c>
      <c r="H166" s="368">
        <f t="shared" si="39"/>
        <v>0</v>
      </c>
    </row>
    <row r="167" spans="2:12" customFormat="1" x14ac:dyDescent="0.2">
      <c r="B167" s="446">
        <v>10</v>
      </c>
      <c r="C167" s="367" t="s">
        <v>773</v>
      </c>
      <c r="D167" s="446" t="s">
        <v>771</v>
      </c>
      <c r="E167" s="446" t="s">
        <v>774</v>
      </c>
      <c r="F167" s="446">
        <v>1</v>
      </c>
      <c r="G167" s="368">
        <v>17000</v>
      </c>
      <c r="H167" s="368">
        <f t="shared" si="39"/>
        <v>2.04</v>
      </c>
    </row>
    <row r="168" spans="2:12" customFormat="1" x14ac:dyDescent="0.2">
      <c r="B168" s="446">
        <v>11</v>
      </c>
      <c r="C168" s="367" t="s">
        <v>775</v>
      </c>
      <c r="D168" s="446" t="s">
        <v>771</v>
      </c>
      <c r="E168" s="446" t="s">
        <v>763</v>
      </c>
      <c r="F168" s="446">
        <v>0</v>
      </c>
      <c r="G168" s="368">
        <v>0</v>
      </c>
      <c r="H168" s="368">
        <f t="shared" si="39"/>
        <v>0</v>
      </c>
    </row>
    <row r="169" spans="2:12" customFormat="1" x14ac:dyDescent="0.2">
      <c r="B169" s="446">
        <v>12</v>
      </c>
      <c r="C169" s="367" t="s">
        <v>776</v>
      </c>
      <c r="D169" s="446" t="s">
        <v>771</v>
      </c>
      <c r="E169" s="446"/>
      <c r="F169" s="446">
        <v>0</v>
      </c>
      <c r="G169" s="368">
        <v>8000</v>
      </c>
      <c r="H169" s="368">
        <f t="shared" si="39"/>
        <v>0</v>
      </c>
    </row>
    <row r="170" spans="2:12" customFormat="1" x14ac:dyDescent="0.2">
      <c r="B170" s="446">
        <v>13</v>
      </c>
      <c r="C170" s="372" t="s">
        <v>777</v>
      </c>
      <c r="D170" s="446" t="s">
        <v>771</v>
      </c>
      <c r="E170" s="446" t="s">
        <v>763</v>
      </c>
      <c r="F170" s="446">
        <v>1</v>
      </c>
      <c r="G170" s="368">
        <v>12000</v>
      </c>
      <c r="H170" s="368">
        <f t="shared" si="39"/>
        <v>1.44</v>
      </c>
    </row>
    <row r="171" spans="2:12" customFormat="1" x14ac:dyDescent="0.2">
      <c r="B171" s="446">
        <v>14</v>
      </c>
      <c r="C171" s="372" t="s">
        <v>778</v>
      </c>
      <c r="D171" s="446" t="s">
        <v>771</v>
      </c>
      <c r="E171" s="446" t="s">
        <v>774</v>
      </c>
      <c r="F171" s="446">
        <v>2</v>
      </c>
      <c r="G171" s="368">
        <v>0</v>
      </c>
      <c r="H171" s="368">
        <f t="shared" si="39"/>
        <v>0</v>
      </c>
    </row>
    <row r="172" spans="2:12" customFormat="1" x14ac:dyDescent="0.2">
      <c r="B172" s="367"/>
      <c r="C172" s="369" t="s">
        <v>1</v>
      </c>
      <c r="D172" s="446"/>
      <c r="E172" s="446"/>
      <c r="F172" s="448">
        <f>SUM(F157:F171)</f>
        <v>9</v>
      </c>
      <c r="G172" s="449"/>
      <c r="H172" s="449">
        <f>SUM(H157:H171)</f>
        <v>10.799999999999999</v>
      </c>
    </row>
    <row r="173" spans="2:12" customFormat="1" x14ac:dyDescent="0.2">
      <c r="B173" s="367"/>
      <c r="C173" s="367"/>
      <c r="D173" s="446"/>
      <c r="E173" s="446"/>
      <c r="F173" s="446"/>
      <c r="G173" s="368"/>
      <c r="H173" s="368"/>
    </row>
    <row r="174" spans="2:12" customFormat="1" x14ac:dyDescent="0.2">
      <c r="B174" s="367"/>
      <c r="C174" s="369" t="s">
        <v>779</v>
      </c>
      <c r="D174" s="446" t="s">
        <v>771</v>
      </c>
      <c r="E174" s="446"/>
      <c r="F174" s="450">
        <v>10</v>
      </c>
      <c r="G174" s="451" t="s">
        <v>780</v>
      </c>
      <c r="H174" s="451" t="s">
        <v>2</v>
      </c>
    </row>
    <row r="175" spans="2:12" customFormat="1" x14ac:dyDescent="0.2"/>
    <row r="176" spans="2:12" customFormat="1" x14ac:dyDescent="0.2">
      <c r="B176" s="10"/>
      <c r="C176" s="10" t="s">
        <v>2</v>
      </c>
      <c r="D176" s="10" t="s">
        <v>3</v>
      </c>
      <c r="E176" s="10" t="s">
        <v>4</v>
      </c>
      <c r="F176" s="10" t="s">
        <v>5</v>
      </c>
      <c r="G176" s="10" t="s">
        <v>6</v>
      </c>
      <c r="H176" s="10" t="s">
        <v>163</v>
      </c>
      <c r="I176" s="322" t="s">
        <v>162</v>
      </c>
      <c r="J176" s="452"/>
      <c r="K176" s="254"/>
      <c r="L176" s="254"/>
    </row>
    <row r="177" spans="2:12" customFormat="1" x14ac:dyDescent="0.2">
      <c r="B177" s="369" t="s">
        <v>779</v>
      </c>
      <c r="C177" s="10">
        <v>15</v>
      </c>
      <c r="D177" s="10">
        <f t="shared" ref="D177:I177" si="40">ROUND(C177*1.1,0)</f>
        <v>17</v>
      </c>
      <c r="E177" s="10">
        <f t="shared" si="40"/>
        <v>19</v>
      </c>
      <c r="F177" s="10">
        <f t="shared" si="40"/>
        <v>21</v>
      </c>
      <c r="G177" s="10">
        <f t="shared" si="40"/>
        <v>23</v>
      </c>
      <c r="H177" s="10">
        <f t="shared" si="40"/>
        <v>25</v>
      </c>
      <c r="I177" s="322">
        <f t="shared" si="40"/>
        <v>28</v>
      </c>
      <c r="J177" s="453"/>
      <c r="K177" s="252"/>
      <c r="L177" s="252"/>
    </row>
    <row r="178" spans="2:12" customFormat="1" x14ac:dyDescent="0.2">
      <c r="D178" s="365"/>
      <c r="E178" s="365"/>
      <c r="F178" s="365"/>
      <c r="G178" s="365"/>
      <c r="H178" s="365"/>
      <c r="I178" s="365"/>
      <c r="J178" s="365"/>
    </row>
    <row r="179" spans="2:12" customFormat="1" x14ac:dyDescent="0.2">
      <c r="D179" s="365"/>
      <c r="E179" s="365"/>
      <c r="F179" s="365"/>
      <c r="G179" s="365"/>
      <c r="H179" s="365"/>
      <c r="I179" s="365"/>
      <c r="J179" s="365"/>
    </row>
    <row r="180" spans="2:12" customFormat="1" x14ac:dyDescent="0.2">
      <c r="D180" s="365"/>
      <c r="E180" s="365"/>
      <c r="F180" s="365"/>
      <c r="G180" s="365"/>
      <c r="H180" s="365"/>
      <c r="I180" s="365"/>
      <c r="J180" s="365"/>
    </row>
    <row r="181" spans="2:12" customFormat="1" ht="25.5" x14ac:dyDescent="0.35">
      <c r="B181" s="549" t="s">
        <v>785</v>
      </c>
      <c r="C181" s="553"/>
      <c r="D181" s="554"/>
      <c r="E181" s="554"/>
      <c r="F181" s="365"/>
      <c r="G181" s="365"/>
      <c r="H181" s="365"/>
      <c r="I181" s="365"/>
      <c r="J181" s="365"/>
    </row>
    <row r="182" spans="2:12" customFormat="1" x14ac:dyDescent="0.2">
      <c r="B182" s="789" t="s">
        <v>783</v>
      </c>
      <c r="C182" s="789"/>
      <c r="D182" s="789"/>
      <c r="E182" s="789"/>
      <c r="F182" s="365"/>
      <c r="G182" s="365"/>
      <c r="H182" s="365"/>
      <c r="I182" s="365"/>
      <c r="J182" s="365"/>
    </row>
    <row r="183" spans="2:12" customFormat="1" x14ac:dyDescent="0.2">
      <c r="B183" s="367">
        <v>5</v>
      </c>
      <c r="C183" s="367">
        <v>200</v>
      </c>
      <c r="D183" s="367">
        <v>12</v>
      </c>
      <c r="E183" s="366">
        <f>B183*C183*D183</f>
        <v>12000</v>
      </c>
      <c r="F183" s="365"/>
      <c r="G183" s="365"/>
      <c r="H183" s="365"/>
      <c r="I183" s="365"/>
      <c r="J183" s="365"/>
    </row>
    <row r="184" spans="2:12" customFormat="1" x14ac:dyDescent="0.2">
      <c r="B184" s="367"/>
      <c r="C184" s="367"/>
      <c r="D184" s="367"/>
      <c r="E184" s="366"/>
      <c r="F184" s="365"/>
      <c r="G184" s="365"/>
      <c r="H184" s="365"/>
      <c r="I184" s="365"/>
      <c r="J184" s="365"/>
    </row>
    <row r="185" spans="2:12" customFormat="1" x14ac:dyDescent="0.2">
      <c r="B185" s="367">
        <v>57</v>
      </c>
      <c r="C185" s="367">
        <v>200</v>
      </c>
      <c r="D185" s="367">
        <v>12</v>
      </c>
      <c r="E185" s="367">
        <f>B185*C185*D185</f>
        <v>136800</v>
      </c>
      <c r="F185" s="365"/>
      <c r="G185" s="365"/>
      <c r="H185" s="365"/>
      <c r="I185" s="365"/>
      <c r="J185" s="365"/>
    </row>
    <row r="186" spans="2:12" customFormat="1" x14ac:dyDescent="0.2">
      <c r="B186" s="790" t="s">
        <v>784</v>
      </c>
      <c r="C186" s="791"/>
      <c r="D186" s="791"/>
      <c r="E186" s="792"/>
      <c r="F186" s="365"/>
      <c r="G186" s="365"/>
      <c r="H186" s="365"/>
      <c r="I186" s="365"/>
      <c r="J186" s="365"/>
      <c r="L186">
        <v>63</v>
      </c>
    </row>
    <row r="187" spans="2:12" customFormat="1" x14ac:dyDescent="0.2">
      <c r="B187" s="367">
        <f>B185+B183</f>
        <v>62</v>
      </c>
      <c r="C187" s="367"/>
      <c r="D187" s="367"/>
      <c r="E187" s="367"/>
      <c r="F187" s="365"/>
      <c r="G187" s="365"/>
      <c r="H187" s="365"/>
      <c r="I187" s="365"/>
      <c r="J187" s="365"/>
      <c r="L187">
        <f>+L186*0.993</f>
        <v>62.558999999999997</v>
      </c>
    </row>
    <row r="188" spans="2:12" customFormat="1" x14ac:dyDescent="0.2">
      <c r="B188" s="367"/>
      <c r="C188" s="367"/>
      <c r="D188" s="367"/>
      <c r="E188" s="367"/>
      <c r="F188" s="365"/>
      <c r="G188" s="365"/>
      <c r="H188" s="365"/>
      <c r="I188" s="365"/>
      <c r="J188" s="365"/>
    </row>
    <row r="189" spans="2:12" customFormat="1" x14ac:dyDescent="0.2">
      <c r="B189" s="367">
        <v>0.8</v>
      </c>
      <c r="C189" s="367"/>
      <c r="D189" s="367"/>
      <c r="E189" s="367"/>
      <c r="F189" s="365"/>
      <c r="G189" s="365"/>
      <c r="H189" s="365"/>
      <c r="I189" s="365"/>
      <c r="J189" s="365"/>
    </row>
    <row r="190" spans="2:12" customFormat="1" x14ac:dyDescent="0.2">
      <c r="B190" s="367">
        <v>0.8</v>
      </c>
      <c r="C190" s="367"/>
      <c r="D190" s="367"/>
      <c r="E190" s="367"/>
      <c r="F190" s="365"/>
      <c r="G190" s="365"/>
      <c r="H190" s="365"/>
      <c r="I190" s="365"/>
      <c r="J190" s="365"/>
    </row>
    <row r="191" spans="2:12" customFormat="1" x14ac:dyDescent="0.2">
      <c r="B191" s="367">
        <v>10</v>
      </c>
      <c r="C191" s="367"/>
      <c r="D191" s="367"/>
      <c r="E191" s="367"/>
      <c r="F191" s="365"/>
      <c r="G191" s="365"/>
      <c r="H191" s="365"/>
      <c r="I191" s="365"/>
      <c r="J191" s="365"/>
    </row>
    <row r="192" spans="2:12" customFormat="1" x14ac:dyDescent="0.2">
      <c r="B192" s="367">
        <v>10</v>
      </c>
      <c r="C192" s="367"/>
      <c r="D192" s="367"/>
      <c r="E192" s="367"/>
      <c r="F192" s="365"/>
      <c r="G192" s="365"/>
      <c r="H192" s="365"/>
      <c r="I192" s="365"/>
      <c r="J192" s="365"/>
    </row>
    <row r="193" spans="2:10" customFormat="1" x14ac:dyDescent="0.2">
      <c r="B193" s="366">
        <f>B187*B189*B190*B191*B192</f>
        <v>3968.0000000000009</v>
      </c>
      <c r="C193" s="367"/>
      <c r="D193" s="367"/>
      <c r="E193" s="367"/>
      <c r="F193" s="365"/>
      <c r="G193" s="365">
        <v>3968</v>
      </c>
      <c r="H193" s="365">
        <f>+G193/10</f>
        <v>396.8</v>
      </c>
      <c r="I193" s="365">
        <v>40</v>
      </c>
      <c r="J193" s="365"/>
    </row>
    <row r="196" spans="2:10" ht="18.75" x14ac:dyDescent="0.25">
      <c r="B196" s="595" t="s">
        <v>859</v>
      </c>
    </row>
    <row r="197" spans="2:10" x14ac:dyDescent="0.2">
      <c r="B197" s="592" t="s">
        <v>661</v>
      </c>
      <c r="C197" s="325" t="s">
        <v>0</v>
      </c>
      <c r="D197" s="593" t="s">
        <v>2</v>
      </c>
      <c r="E197" s="593" t="s">
        <v>3</v>
      </c>
      <c r="F197" s="593" t="s">
        <v>4</v>
      </c>
      <c r="G197" s="593" t="s">
        <v>5</v>
      </c>
      <c r="H197" s="593" t="s">
        <v>6</v>
      </c>
      <c r="I197" s="593" t="s">
        <v>163</v>
      </c>
      <c r="J197" s="596" t="s">
        <v>162</v>
      </c>
    </row>
    <row r="198" spans="2:10" x14ac:dyDescent="0.2">
      <c r="B198" s="338" t="s">
        <v>167</v>
      </c>
      <c r="C198" s="315" t="s">
        <v>860</v>
      </c>
      <c r="D198" s="332">
        <v>0</v>
      </c>
      <c r="E198" s="332">
        <f>+ROUND(D198*1.05,)</f>
        <v>0</v>
      </c>
      <c r="F198" s="332">
        <f t="shared" ref="F198:J198" si="41">+ROUND(E198*1.05,)</f>
        <v>0</v>
      </c>
      <c r="G198" s="332">
        <f t="shared" si="41"/>
        <v>0</v>
      </c>
      <c r="H198" s="332">
        <f t="shared" si="41"/>
        <v>0</v>
      </c>
      <c r="I198" s="332">
        <f t="shared" si="41"/>
        <v>0</v>
      </c>
      <c r="J198" s="597">
        <f t="shared" si="41"/>
        <v>0</v>
      </c>
    </row>
    <row r="199" spans="2:10" x14ac:dyDescent="0.2">
      <c r="C199" s="332" t="s">
        <v>862</v>
      </c>
      <c r="D199" s="339">
        <v>0</v>
      </c>
      <c r="E199" s="417">
        <f t="shared" ref="E199:J199" si="42">ROUND(D199*1.05,-1)</f>
        <v>0</v>
      </c>
      <c r="F199" s="417">
        <f t="shared" si="42"/>
        <v>0</v>
      </c>
      <c r="G199" s="417">
        <f t="shared" si="42"/>
        <v>0</v>
      </c>
      <c r="H199" s="417">
        <f t="shared" si="42"/>
        <v>0</v>
      </c>
      <c r="I199" s="417">
        <f t="shared" si="42"/>
        <v>0</v>
      </c>
      <c r="J199" s="417">
        <f t="shared" si="42"/>
        <v>0</v>
      </c>
    </row>
    <row r="201" spans="2:10" x14ac:dyDescent="0.2">
      <c r="C201" s="315" t="s">
        <v>863</v>
      </c>
      <c r="D201" s="332">
        <v>0</v>
      </c>
      <c r="E201" s="332">
        <f>+ROUND(D201*1.05,)</f>
        <v>0</v>
      </c>
      <c r="F201" s="332">
        <f t="shared" ref="F201:J201" si="43">+ROUND(E201*1.05,)</f>
        <v>0</v>
      </c>
      <c r="G201" s="332">
        <f t="shared" si="43"/>
        <v>0</v>
      </c>
      <c r="H201" s="332">
        <f t="shared" si="43"/>
        <v>0</v>
      </c>
      <c r="I201" s="332">
        <f t="shared" si="43"/>
        <v>0</v>
      </c>
      <c r="J201" s="597">
        <f t="shared" si="43"/>
        <v>0</v>
      </c>
    </row>
    <row r="202" spans="2:10" x14ac:dyDescent="0.2">
      <c r="C202" s="332" t="s">
        <v>862</v>
      </c>
      <c r="D202" s="417">
        <v>0</v>
      </c>
      <c r="E202" s="417">
        <f t="shared" ref="E202:J202" si="44">ROUND(D202*1.05,-1)</f>
        <v>0</v>
      </c>
      <c r="F202" s="417">
        <f t="shared" si="44"/>
        <v>0</v>
      </c>
      <c r="G202" s="417">
        <f t="shared" si="44"/>
        <v>0</v>
      </c>
      <c r="H202" s="417">
        <f t="shared" si="44"/>
        <v>0</v>
      </c>
      <c r="I202" s="417">
        <f t="shared" si="44"/>
        <v>0</v>
      </c>
      <c r="J202" s="417">
        <f t="shared" si="44"/>
        <v>0</v>
      </c>
    </row>
  </sheetData>
  <mergeCells count="2">
    <mergeCell ref="B182:E182"/>
    <mergeCell ref="B186:E18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39"/>
  <sheetViews>
    <sheetView view="pageBreakPreview" zoomScaleSheetLayoutView="100" workbookViewId="0" xr3:uid="{958C4451-9541-5A59-BF78-D2F731DF1C81}">
      <selection activeCell="D28" sqref="D28:D33"/>
    </sheetView>
  </sheetViews>
  <sheetFormatPr defaultRowHeight="15" x14ac:dyDescent="0.2"/>
  <cols>
    <col min="2" max="2" width="7.53125" bestFit="1" customWidth="1"/>
    <col min="3" max="3" width="26.23046875" bestFit="1" customWidth="1"/>
    <col min="4" max="4" width="14.9296875" style="365" customWidth="1"/>
    <col min="5" max="5" width="16.0078125" style="365" customWidth="1"/>
    <col min="6" max="6" width="17.890625" style="365" customWidth="1"/>
  </cols>
  <sheetData>
    <row r="2" spans="1:15" ht="18" x14ac:dyDescent="0.2">
      <c r="B2" s="704" t="s">
        <v>500</v>
      </c>
      <c r="C2" s="704"/>
      <c r="D2" s="704"/>
      <c r="E2" s="704"/>
      <c r="F2" s="704"/>
    </row>
    <row r="4" spans="1:15" x14ac:dyDescent="0.2">
      <c r="B4" s="293" t="s">
        <v>140</v>
      </c>
      <c r="C4" s="293" t="s">
        <v>125</v>
      </c>
      <c r="D4" s="493" t="s">
        <v>154</v>
      </c>
      <c r="E4" s="494" t="s">
        <v>450</v>
      </c>
      <c r="F4" s="494" t="s">
        <v>451</v>
      </c>
    </row>
    <row r="5" spans="1:15" x14ac:dyDescent="0.2">
      <c r="B5" s="294">
        <v>1</v>
      </c>
      <c r="C5" s="295" t="str">
        <f>'2.Capex Details'!B2</f>
        <v>Land and Building</v>
      </c>
      <c r="D5" s="495">
        <f>'2.Capex Details'!G12</f>
        <v>109.31</v>
      </c>
      <c r="E5" s="496">
        <v>0.6</v>
      </c>
      <c r="F5" s="497">
        <f>D5*E5</f>
        <v>65.585999999999999</v>
      </c>
    </row>
    <row r="6" spans="1:15" x14ac:dyDescent="0.2">
      <c r="B6" s="294">
        <v>2</v>
      </c>
      <c r="C6" s="295" t="str">
        <f>'2.Capex Details'!B17</f>
        <v>Machinery and Equipment</v>
      </c>
      <c r="D6" s="495">
        <f>'2.Capex Details'!G67</f>
        <v>32.088100000000004</v>
      </c>
      <c r="E6" s="496">
        <v>0.6</v>
      </c>
      <c r="F6" s="497">
        <f t="shared" ref="F6:F10" si="0">D6*E6</f>
        <v>19.252860000000002</v>
      </c>
      <c r="J6" s="365">
        <f>+J12-J11-J10</f>
        <v>300.29418395833335</v>
      </c>
    </row>
    <row r="7" spans="1:15" x14ac:dyDescent="0.2">
      <c r="B7" s="294">
        <v>3</v>
      </c>
      <c r="C7" s="295" t="str">
        <f>'2.Capex Details'!B73</f>
        <v>Furniture and Fixture</v>
      </c>
      <c r="D7" s="495">
        <f>'2.Capex Details'!F82</f>
        <v>0</v>
      </c>
      <c r="E7" s="496">
        <v>0.6</v>
      </c>
      <c r="F7" s="497">
        <f t="shared" si="0"/>
        <v>0</v>
      </c>
      <c r="J7">
        <v>0</v>
      </c>
    </row>
    <row r="8" spans="1:15" x14ac:dyDescent="0.2">
      <c r="B8" s="294">
        <v>4</v>
      </c>
      <c r="C8" s="295" t="str">
        <f>'2.Capex Details'!B87</f>
        <v>IT &amp; It Infrastracture</v>
      </c>
      <c r="D8" s="495">
        <f>'2.Capex Details'!F96</f>
        <v>0</v>
      </c>
      <c r="E8" s="496">
        <v>0.6</v>
      </c>
      <c r="F8" s="497">
        <f t="shared" si="0"/>
        <v>0</v>
      </c>
      <c r="J8">
        <v>0</v>
      </c>
      <c r="O8">
        <f>80.87+28.63+19.39+3+1.5+5+2.42+6.92</f>
        <v>147.72999999999996</v>
      </c>
    </row>
    <row r="9" spans="1:15" ht="24" x14ac:dyDescent="0.2">
      <c r="B9" s="294">
        <v>5</v>
      </c>
      <c r="C9" s="295" t="str">
        <f>'2.Capex Details'!B101</f>
        <v>Transport vehical  (Refer van and other)</v>
      </c>
      <c r="D9" s="495">
        <f>'2.Capex Details'!F107</f>
        <v>0</v>
      </c>
      <c r="E9" s="496">
        <v>0.6</v>
      </c>
      <c r="F9" s="497">
        <f t="shared" si="0"/>
        <v>0</v>
      </c>
      <c r="J9">
        <v>0</v>
      </c>
      <c r="O9">
        <f>48.39+17.18+10.95+1.8+0.9+3+4.15</f>
        <v>86.37</v>
      </c>
    </row>
    <row r="10" spans="1:15" x14ac:dyDescent="0.2">
      <c r="B10" s="294">
        <v>6</v>
      </c>
      <c r="C10" s="295" t="str">
        <f>'2.Capex Details'!B111</f>
        <v>Preliminary Expenses</v>
      </c>
      <c r="D10" s="495">
        <f>'2.Capex Details'!D119</f>
        <v>7.0699050000000003</v>
      </c>
      <c r="E10" s="496">
        <v>0.6</v>
      </c>
      <c r="F10" s="497">
        <f t="shared" si="0"/>
        <v>4.241943</v>
      </c>
      <c r="J10">
        <v>13.808500000000002</v>
      </c>
      <c r="K10">
        <v>5</v>
      </c>
      <c r="L10" t="s">
        <v>398</v>
      </c>
    </row>
    <row r="11" spans="1:15" x14ac:dyDescent="0.2">
      <c r="B11" s="294">
        <v>7</v>
      </c>
      <c r="C11" s="295" t="s">
        <v>152</v>
      </c>
      <c r="D11" s="495">
        <f>'5.Closing Stock &amp; W Capital'!E57</f>
        <v>2.6909028782793207</v>
      </c>
      <c r="E11" s="497"/>
      <c r="F11" s="497"/>
      <c r="J11">
        <v>3.8973160416666675</v>
      </c>
      <c r="O11" t="s">
        <v>726</v>
      </c>
    </row>
    <row r="12" spans="1:15" x14ac:dyDescent="0.2">
      <c r="B12" s="703" t="s">
        <v>1</v>
      </c>
      <c r="C12" s="703"/>
      <c r="D12" s="498">
        <f>SUM(D5:D11)</f>
        <v>151.15890787827934</v>
      </c>
      <c r="E12" s="497"/>
      <c r="F12" s="498">
        <f>SUM(F5:F11)</f>
        <v>89.080803000000003</v>
      </c>
      <c r="H12">
        <v>329.54</v>
      </c>
      <c r="I12" s="365">
        <f>+D12-H12</f>
        <v>-178.38109212172068</v>
      </c>
      <c r="J12" s="365">
        <v>318</v>
      </c>
    </row>
    <row r="13" spans="1:15" x14ac:dyDescent="0.2">
      <c r="M13">
        <v>48</v>
      </c>
    </row>
    <row r="14" spans="1:15" ht="25.5" customHeight="1" x14ac:dyDescent="0.2">
      <c r="A14" s="706" t="s">
        <v>399</v>
      </c>
      <c r="B14" s="706"/>
      <c r="C14" s="706"/>
      <c r="D14" s="706"/>
      <c r="E14" s="706"/>
      <c r="F14" s="706"/>
      <c r="M14">
        <v>11.64</v>
      </c>
    </row>
    <row r="15" spans="1:15" x14ac:dyDescent="0.2">
      <c r="M15">
        <f>M13+M14</f>
        <v>59.64</v>
      </c>
    </row>
    <row r="16" spans="1:15" ht="18" x14ac:dyDescent="0.2">
      <c r="B16" s="704" t="s">
        <v>501</v>
      </c>
      <c r="C16" s="704"/>
      <c r="D16" s="704"/>
      <c r="E16" s="704"/>
      <c r="F16" s="704"/>
      <c r="M16">
        <v>19.05</v>
      </c>
    </row>
    <row r="17" spans="2:14" x14ac:dyDescent="0.2">
      <c r="M17">
        <f>M15+M16</f>
        <v>78.69</v>
      </c>
    </row>
    <row r="18" spans="2:14" x14ac:dyDescent="0.2">
      <c r="B18" s="292" t="s">
        <v>140</v>
      </c>
      <c r="C18" s="293" t="s">
        <v>125</v>
      </c>
      <c r="D18" s="493" t="s">
        <v>588</v>
      </c>
      <c r="E18" s="493" t="s">
        <v>154</v>
      </c>
      <c r="F18" s="493" t="s">
        <v>442</v>
      </c>
    </row>
    <row r="19" spans="2:14" x14ac:dyDescent="0.2">
      <c r="B19" s="294">
        <v>1</v>
      </c>
      <c r="C19" s="295" t="s">
        <v>319</v>
      </c>
      <c r="D19" s="499"/>
      <c r="E19" s="499">
        <f>F12</f>
        <v>89.080803000000003</v>
      </c>
      <c r="F19" s="555">
        <f>+E19/E22</f>
        <v>0.58931891114040258</v>
      </c>
    </row>
    <row r="20" spans="2:14" x14ac:dyDescent="0.2">
      <c r="B20" s="294">
        <v>2</v>
      </c>
      <c r="C20" s="295" t="s">
        <v>153</v>
      </c>
      <c r="D20" s="638">
        <v>0.2</v>
      </c>
      <c r="E20" s="499">
        <f>SUM(D5:D10)*D20</f>
        <v>29.693601000000001</v>
      </c>
      <c r="F20" s="555">
        <f>+E20/E22</f>
        <v>0.19643963704680087</v>
      </c>
    </row>
    <row r="21" spans="2:14" x14ac:dyDescent="0.2">
      <c r="B21" s="294">
        <v>3</v>
      </c>
      <c r="C21" s="295" t="s">
        <v>130</v>
      </c>
      <c r="D21" s="499"/>
      <c r="E21" s="499">
        <f>D12-E19-E20</f>
        <v>32.384503878279332</v>
      </c>
      <c r="F21" s="555">
        <f>+E21/E22</f>
        <v>0.21424145181279652</v>
      </c>
    </row>
    <row r="22" spans="2:14" x14ac:dyDescent="0.2">
      <c r="B22" s="703" t="s">
        <v>1</v>
      </c>
      <c r="C22" s="703"/>
      <c r="D22" s="500"/>
      <c r="E22" s="500">
        <f>SUM(E19:E21)</f>
        <v>151.15890787827934</v>
      </c>
      <c r="F22" s="277">
        <v>1</v>
      </c>
    </row>
    <row r="24" spans="2:14" x14ac:dyDescent="0.2">
      <c r="B24" s="705" t="s">
        <v>400</v>
      </c>
      <c r="C24" s="705"/>
      <c r="D24" s="705"/>
      <c r="E24" s="705"/>
      <c r="F24" s="705"/>
    </row>
    <row r="26" spans="2:14" ht="18" x14ac:dyDescent="0.2">
      <c r="B26" s="702" t="s">
        <v>502</v>
      </c>
      <c r="C26" s="702"/>
      <c r="D26" s="702"/>
      <c r="E26" s="702"/>
      <c r="F26" s="702"/>
      <c r="K26">
        <v>23000</v>
      </c>
      <c r="L26">
        <v>300</v>
      </c>
      <c r="M26">
        <f>+L26*K26</f>
        <v>6900000</v>
      </c>
    </row>
    <row r="27" spans="2:14" x14ac:dyDescent="0.2">
      <c r="B27" s="296" t="s">
        <v>140</v>
      </c>
      <c r="C27" s="297" t="s">
        <v>544</v>
      </c>
      <c r="D27" s="501" t="s">
        <v>545</v>
      </c>
      <c r="E27" s="502" t="s">
        <v>546</v>
      </c>
      <c r="F27" s="700" t="s">
        <v>547</v>
      </c>
      <c r="G27" s="701"/>
      <c r="K27">
        <v>5476405</v>
      </c>
    </row>
    <row r="28" spans="2:14" ht="24" x14ac:dyDescent="0.2">
      <c r="B28" s="298">
        <v>1</v>
      </c>
      <c r="C28" s="295" t="s">
        <v>364</v>
      </c>
      <c r="D28" s="613">
        <f>'9. Financial indiacators'!C46</f>
        <v>0.49789854217498963</v>
      </c>
      <c r="E28" s="503" t="s">
        <v>365</v>
      </c>
      <c r="F28" s="504" t="s">
        <v>548</v>
      </c>
      <c r="G28" s="298" t="s">
        <v>366</v>
      </c>
      <c r="K28">
        <f>+K27/K26</f>
        <v>238.1045652173913</v>
      </c>
    </row>
    <row r="29" spans="2:14" ht="24" x14ac:dyDescent="0.2">
      <c r="B29" s="298">
        <v>2</v>
      </c>
      <c r="C29" s="295" t="s">
        <v>367</v>
      </c>
      <c r="D29" s="613">
        <f>'9. Financial indiacators'!C82</f>
        <v>0.21421211533676743</v>
      </c>
      <c r="E29" s="503" t="s">
        <v>365</v>
      </c>
      <c r="F29" s="504" t="s">
        <v>549</v>
      </c>
      <c r="G29" s="298" t="s">
        <v>368</v>
      </c>
    </row>
    <row r="30" spans="2:14" ht="34.5" x14ac:dyDescent="0.2">
      <c r="B30" s="298">
        <v>3</v>
      </c>
      <c r="C30" s="295" t="s">
        <v>369</v>
      </c>
      <c r="D30" s="613">
        <f>'9. Financial indiacators'!C16</f>
        <v>0.14286543778524741</v>
      </c>
      <c r="E30" s="503" t="s">
        <v>365</v>
      </c>
      <c r="F30" s="504" t="s">
        <v>550</v>
      </c>
      <c r="G30" s="298" t="s">
        <v>370</v>
      </c>
    </row>
    <row r="31" spans="2:14" ht="45.75" x14ac:dyDescent="0.2">
      <c r="B31" s="298">
        <v>4</v>
      </c>
      <c r="C31" s="295" t="s">
        <v>371</v>
      </c>
      <c r="D31" s="642">
        <f>'9. Financial indiacators'!C70</f>
        <v>26.488146028243307</v>
      </c>
      <c r="E31" s="503" t="s">
        <v>375</v>
      </c>
      <c r="F31" s="504" t="s">
        <v>551</v>
      </c>
      <c r="G31" s="298" t="s">
        <v>372</v>
      </c>
      <c r="M31">
        <v>6</v>
      </c>
      <c r="N31">
        <v>6</v>
      </c>
    </row>
    <row r="32" spans="2:14" ht="34.5" x14ac:dyDescent="0.2">
      <c r="B32" s="298">
        <v>5</v>
      </c>
      <c r="C32" s="295" t="s">
        <v>373</v>
      </c>
      <c r="D32" s="503">
        <f>'9. Financial indiacators'!D98</f>
        <v>4.7571388380653064</v>
      </c>
      <c r="E32" s="503" t="s">
        <v>365</v>
      </c>
      <c r="F32" s="504" t="s">
        <v>552</v>
      </c>
      <c r="G32" s="298" t="s">
        <v>376</v>
      </c>
      <c r="M32">
        <v>14</v>
      </c>
      <c r="N32">
        <v>12</v>
      </c>
    </row>
    <row r="33" spans="2:14" ht="34.5" x14ac:dyDescent="0.2">
      <c r="B33" s="298">
        <v>6</v>
      </c>
      <c r="C33" s="299" t="s">
        <v>374</v>
      </c>
      <c r="D33" s="503">
        <f>+'9. Financial indiacators'!C116</f>
        <v>2.4607391394899421</v>
      </c>
      <c r="E33" s="505" t="s">
        <v>365</v>
      </c>
      <c r="F33" s="504" t="s">
        <v>553</v>
      </c>
      <c r="G33" s="299" t="s">
        <v>377</v>
      </c>
      <c r="K33">
        <v>15</v>
      </c>
      <c r="M33">
        <v>4</v>
      </c>
      <c r="N33">
        <v>4</v>
      </c>
    </row>
    <row r="34" spans="2:14" x14ac:dyDescent="0.2">
      <c r="K34">
        <v>18</v>
      </c>
      <c r="M34">
        <v>12</v>
      </c>
      <c r="N34">
        <v>6</v>
      </c>
    </row>
    <row r="35" spans="2:14" x14ac:dyDescent="0.2">
      <c r="M35">
        <v>10</v>
      </c>
      <c r="N35">
        <v>5</v>
      </c>
    </row>
    <row r="36" spans="2:14" x14ac:dyDescent="0.2">
      <c r="M36">
        <v>16</v>
      </c>
      <c r="N36">
        <v>16</v>
      </c>
    </row>
    <row r="37" spans="2:14" x14ac:dyDescent="0.2">
      <c r="M37">
        <v>28</v>
      </c>
      <c r="N37">
        <v>19</v>
      </c>
    </row>
    <row r="38" spans="2:14" x14ac:dyDescent="0.2">
      <c r="M38">
        <v>10</v>
      </c>
      <c r="N38">
        <v>10</v>
      </c>
    </row>
    <row r="39" spans="2:14" x14ac:dyDescent="0.2">
      <c r="M39">
        <f>SUM(M31:M38)</f>
        <v>100</v>
      </c>
      <c r="N39">
        <f>SUM(N31:N38)</f>
        <v>78</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25"/>
  <sheetViews>
    <sheetView view="pageBreakPreview" topLeftCell="A104" zoomScale="80" zoomScaleSheetLayoutView="80" workbookViewId="0" xr3:uid="{842E5F09-E766-5B8D-85AF-A39847EA96FD}">
      <selection activeCell="C129" sqref="C129"/>
    </sheetView>
  </sheetViews>
  <sheetFormatPr defaultRowHeight="15" x14ac:dyDescent="0.2"/>
  <cols>
    <col min="2" max="2" width="7.53125" bestFit="1" customWidth="1"/>
    <col min="3" max="3" width="41.56640625" customWidth="1"/>
    <col min="4" max="4" width="9.68359375" customWidth="1"/>
    <col min="5" max="5" width="16.94921875" customWidth="1"/>
    <col min="6" max="6" width="13.98828125" bestFit="1" customWidth="1"/>
    <col min="7" max="7" width="13.5859375" style="18" bestFit="1" customWidth="1"/>
    <col min="8" max="8" width="11.56640625" bestFit="1" customWidth="1"/>
  </cols>
  <sheetData>
    <row r="2" spans="1:7" ht="18" x14ac:dyDescent="0.2">
      <c r="A2">
        <v>2.1</v>
      </c>
      <c r="B2" s="704" t="s">
        <v>150</v>
      </c>
      <c r="C2" s="704"/>
      <c r="D2" s="704"/>
      <c r="E2" s="704"/>
      <c r="F2" s="704"/>
      <c r="G2" s="704"/>
    </row>
    <row r="4" spans="1:7" x14ac:dyDescent="0.2">
      <c r="B4" s="177" t="s">
        <v>140</v>
      </c>
      <c r="C4" s="177" t="s">
        <v>125</v>
      </c>
      <c r="D4" s="177" t="s">
        <v>128</v>
      </c>
      <c r="E4" s="177" t="s">
        <v>141</v>
      </c>
      <c r="F4" s="177" t="s">
        <v>142</v>
      </c>
      <c r="G4" s="379" t="s">
        <v>154</v>
      </c>
    </row>
    <row r="5" spans="1:7" x14ac:dyDescent="0.2">
      <c r="B5" s="222">
        <v>1</v>
      </c>
      <c r="C5" s="222" t="s">
        <v>143</v>
      </c>
      <c r="D5" s="222" t="s">
        <v>144</v>
      </c>
      <c r="E5" s="300"/>
      <c r="F5" s="301"/>
      <c r="G5" s="380" t="s">
        <v>145</v>
      </c>
    </row>
    <row r="6" spans="1:7" x14ac:dyDescent="0.2">
      <c r="B6" s="222"/>
      <c r="C6" s="377" t="s">
        <v>868</v>
      </c>
      <c r="D6" s="223" t="s">
        <v>288</v>
      </c>
      <c r="E6" s="190">
        <v>700</v>
      </c>
      <c r="F6" s="647">
        <f>+G6*100000/E6</f>
        <v>11525.714285714286</v>
      </c>
      <c r="G6" s="381">
        <v>80.680000000000007</v>
      </c>
    </row>
    <row r="7" spans="1:7" x14ac:dyDescent="0.2">
      <c r="B7" s="222"/>
      <c r="C7" s="222" t="s">
        <v>869</v>
      </c>
      <c r="D7" s="223"/>
      <c r="E7" s="190">
        <v>158.26</v>
      </c>
      <c r="F7" s="647">
        <f>+G7*100000/E7</f>
        <v>18090.484013648427</v>
      </c>
      <c r="G7" s="381">
        <v>28.63</v>
      </c>
    </row>
    <row r="8" spans="1:7" x14ac:dyDescent="0.2">
      <c r="B8" s="222"/>
      <c r="C8" s="222"/>
      <c r="D8" s="223"/>
      <c r="E8" s="190"/>
      <c r="F8" s="191"/>
      <c r="G8" s="381">
        <f t="shared" ref="G8:G11" si="0">E8*F8</f>
        <v>0</v>
      </c>
    </row>
    <row r="9" spans="1:7" x14ac:dyDescent="0.2">
      <c r="B9" s="222"/>
      <c r="C9" s="222"/>
      <c r="D9" s="223"/>
      <c r="E9" s="190"/>
      <c r="F9" s="191"/>
      <c r="G9" s="381">
        <f t="shared" si="0"/>
        <v>0</v>
      </c>
    </row>
    <row r="10" spans="1:7" x14ac:dyDescent="0.2">
      <c r="B10" s="222"/>
      <c r="C10" s="222"/>
      <c r="D10" s="223"/>
      <c r="E10" s="190"/>
      <c r="F10" s="191"/>
      <c r="G10" s="381">
        <f t="shared" si="0"/>
        <v>0</v>
      </c>
    </row>
    <row r="11" spans="1:7" x14ac:dyDescent="0.2">
      <c r="B11" s="222"/>
      <c r="C11" s="222"/>
      <c r="D11" s="223"/>
      <c r="E11" s="190"/>
      <c r="F11" s="191"/>
      <c r="G11" s="381">
        <f t="shared" si="0"/>
        <v>0</v>
      </c>
    </row>
    <row r="12" spans="1:7" x14ac:dyDescent="0.2">
      <c r="B12" s="707" t="s">
        <v>1</v>
      </c>
      <c r="C12" s="707"/>
      <c r="D12" s="707"/>
      <c r="E12" s="707"/>
      <c r="F12" s="707"/>
      <c r="G12" s="382">
        <f>SUM(G6:G11)</f>
        <v>109.31</v>
      </c>
    </row>
    <row r="15" spans="1:7" x14ac:dyDescent="0.2">
      <c r="B15" s="705" t="s">
        <v>394</v>
      </c>
      <c r="C15" s="705"/>
      <c r="D15" s="705"/>
      <c r="E15" s="705"/>
      <c r="F15" s="705"/>
      <c r="G15" s="705"/>
    </row>
    <row r="17" spans="1:8" ht="18" x14ac:dyDescent="0.2">
      <c r="A17">
        <v>2.2000000000000002</v>
      </c>
      <c r="B17" s="704" t="s">
        <v>151</v>
      </c>
      <c r="C17" s="704"/>
      <c r="D17" s="704"/>
      <c r="E17" s="704"/>
      <c r="F17" s="704"/>
      <c r="G17" s="704"/>
      <c r="H17" s="704"/>
    </row>
    <row r="18" spans="1:8" x14ac:dyDescent="0.2">
      <c r="B18" s="19"/>
    </row>
    <row r="19" spans="1:8" x14ac:dyDescent="0.2">
      <c r="B19" s="275" t="s">
        <v>140</v>
      </c>
      <c r="C19" s="275" t="s">
        <v>146</v>
      </c>
      <c r="D19" s="275" t="s">
        <v>156</v>
      </c>
      <c r="E19" s="275" t="s">
        <v>147</v>
      </c>
      <c r="F19" s="275" t="s">
        <v>148</v>
      </c>
      <c r="G19" s="379" t="s">
        <v>154</v>
      </c>
      <c r="H19" s="275" t="s">
        <v>149</v>
      </c>
    </row>
    <row r="20" spans="1:8" x14ac:dyDescent="0.2">
      <c r="B20" s="199"/>
      <c r="C20" s="192"/>
      <c r="D20" s="192"/>
      <c r="E20" s="192"/>
      <c r="F20" s="192"/>
      <c r="G20" s="378"/>
      <c r="H20" s="192"/>
    </row>
    <row r="21" spans="1:8" x14ac:dyDescent="0.2">
      <c r="B21" s="195" t="s">
        <v>167</v>
      </c>
      <c r="C21" s="194" t="s">
        <v>350</v>
      </c>
      <c r="D21" s="194"/>
      <c r="E21" s="195"/>
      <c r="F21" s="196"/>
      <c r="G21" s="378">
        <f t="shared" ref="G21:G31" si="1">E21*F21</f>
        <v>0</v>
      </c>
      <c r="H21" s="197"/>
    </row>
    <row r="22" spans="1:8" x14ac:dyDescent="0.2">
      <c r="B22" s="195"/>
      <c r="C22" s="194"/>
      <c r="D22" s="194"/>
      <c r="E22" s="195"/>
      <c r="F22" s="196"/>
      <c r="G22" s="378">
        <f t="shared" si="1"/>
        <v>0</v>
      </c>
      <c r="H22" s="197"/>
    </row>
    <row r="23" spans="1:8" x14ac:dyDescent="0.2">
      <c r="B23" s="195"/>
      <c r="C23" s="194"/>
      <c r="D23" s="194"/>
      <c r="E23" s="195"/>
      <c r="F23" s="196"/>
      <c r="G23" s="378">
        <f t="shared" si="1"/>
        <v>0</v>
      </c>
      <c r="H23" s="197"/>
    </row>
    <row r="24" spans="1:8" x14ac:dyDescent="0.2">
      <c r="B24" s="195"/>
      <c r="C24" s="194"/>
      <c r="D24" s="194"/>
      <c r="E24" s="195"/>
      <c r="F24" s="196"/>
      <c r="G24" s="378">
        <f t="shared" si="1"/>
        <v>0</v>
      </c>
      <c r="H24" s="197"/>
    </row>
    <row r="25" spans="1:8" x14ac:dyDescent="0.2">
      <c r="B25" s="195"/>
      <c r="C25" s="194"/>
      <c r="D25" s="194"/>
      <c r="E25" s="195"/>
      <c r="F25" s="196"/>
      <c r="G25" s="378">
        <f t="shared" si="1"/>
        <v>0</v>
      </c>
      <c r="H25" s="197"/>
    </row>
    <row r="26" spans="1:8" x14ac:dyDescent="0.2">
      <c r="B26" s="195"/>
      <c r="C26" s="194"/>
      <c r="D26" s="194"/>
      <c r="E26" s="195"/>
      <c r="F26" s="196"/>
      <c r="G26" s="378">
        <f t="shared" si="1"/>
        <v>0</v>
      </c>
      <c r="H26" s="197"/>
    </row>
    <row r="27" spans="1:8" x14ac:dyDescent="0.2">
      <c r="B27" s="195"/>
      <c r="C27" s="194"/>
      <c r="D27" s="194"/>
      <c r="E27" s="195"/>
      <c r="F27" s="196"/>
      <c r="G27" s="378">
        <f t="shared" si="1"/>
        <v>0</v>
      </c>
      <c r="H27" s="197"/>
    </row>
    <row r="28" spans="1:8" x14ac:dyDescent="0.2">
      <c r="B28" s="195"/>
      <c r="C28" s="194"/>
      <c r="D28" s="194"/>
      <c r="E28" s="195"/>
      <c r="F28" s="196"/>
      <c r="G28" s="378">
        <f t="shared" si="1"/>
        <v>0</v>
      </c>
      <c r="H28" s="197"/>
    </row>
    <row r="29" spans="1:8" x14ac:dyDescent="0.2">
      <c r="B29" s="195"/>
      <c r="C29" s="194"/>
      <c r="D29" s="195"/>
      <c r="E29" s="195"/>
      <c r="F29" s="196"/>
      <c r="G29" s="378">
        <f t="shared" si="1"/>
        <v>0</v>
      </c>
      <c r="H29" s="197"/>
    </row>
    <row r="30" spans="1:8" x14ac:dyDescent="0.2">
      <c r="B30" s="195"/>
      <c r="C30" s="194"/>
      <c r="D30" s="195"/>
      <c r="E30" s="195"/>
      <c r="F30" s="196"/>
      <c r="G30" s="378">
        <f t="shared" si="1"/>
        <v>0</v>
      </c>
      <c r="H30" s="197"/>
    </row>
    <row r="31" spans="1:8" x14ac:dyDescent="0.2">
      <c r="B31" s="195"/>
      <c r="C31" s="194"/>
      <c r="D31" s="195"/>
      <c r="E31" s="195"/>
      <c r="F31" s="196"/>
      <c r="G31" s="378">
        <f t="shared" si="1"/>
        <v>0</v>
      </c>
      <c r="H31" s="197"/>
    </row>
    <row r="32" spans="1:8" x14ac:dyDescent="0.2">
      <c r="B32" s="709" t="s">
        <v>165</v>
      </c>
      <c r="C32" s="709"/>
      <c r="D32" s="195"/>
      <c r="E32" s="195"/>
      <c r="F32" s="198"/>
      <c r="G32" s="378">
        <f>SUM(G21:G31)</f>
        <v>0</v>
      </c>
      <c r="H32" s="193">
        <f>SUM(H21:H31)</f>
        <v>0</v>
      </c>
    </row>
    <row r="33" spans="2:8" x14ac:dyDescent="0.2">
      <c r="B33" s="195" t="s">
        <v>168</v>
      </c>
      <c r="C33" s="194" t="s">
        <v>282</v>
      </c>
      <c r="D33" s="199"/>
      <c r="E33" s="199"/>
      <c r="F33" s="193"/>
      <c r="G33" s="378"/>
      <c r="H33" s="192"/>
    </row>
    <row r="34" spans="2:8" x14ac:dyDescent="0.2">
      <c r="B34" s="199"/>
      <c r="C34" s="200"/>
      <c r="D34" s="200"/>
      <c r="E34" s="199"/>
      <c r="F34" s="193"/>
      <c r="G34" s="378">
        <f t="shared" ref="G34:G39" si="2">E34*F34</f>
        <v>0</v>
      </c>
      <c r="H34" s="192"/>
    </row>
    <row r="35" spans="2:8" x14ac:dyDescent="0.2">
      <c r="B35" s="199"/>
      <c r="C35" s="200"/>
      <c r="D35" s="199"/>
      <c r="E35" s="199"/>
      <c r="F35" s="193"/>
      <c r="G35" s="378">
        <f t="shared" si="2"/>
        <v>0</v>
      </c>
      <c r="H35" s="192"/>
    </row>
    <row r="36" spans="2:8" x14ac:dyDescent="0.2">
      <c r="B36" s="199"/>
      <c r="C36" s="200"/>
      <c r="D36" s="199"/>
      <c r="E36" s="199"/>
      <c r="F36" s="193"/>
      <c r="G36" s="378">
        <f t="shared" si="2"/>
        <v>0</v>
      </c>
      <c r="H36" s="192"/>
    </row>
    <row r="37" spans="2:8" x14ac:dyDescent="0.2">
      <c r="B37" s="199"/>
      <c r="C37" s="200"/>
      <c r="D37" s="199"/>
      <c r="E37" s="199"/>
      <c r="F37" s="193"/>
      <c r="G37" s="378">
        <f t="shared" si="2"/>
        <v>0</v>
      </c>
      <c r="H37" s="192"/>
    </row>
    <row r="38" spans="2:8" x14ac:dyDescent="0.2">
      <c r="B38" s="199"/>
      <c r="C38" s="200"/>
      <c r="D38" s="199"/>
      <c r="E38" s="199"/>
      <c r="F38" s="193"/>
      <c r="G38" s="378">
        <f t="shared" si="2"/>
        <v>0</v>
      </c>
      <c r="H38" s="192"/>
    </row>
    <row r="39" spans="2:8" x14ac:dyDescent="0.2">
      <c r="B39" s="199"/>
      <c r="C39" s="200"/>
      <c r="D39" s="199"/>
      <c r="E39" s="199"/>
      <c r="F39" s="193"/>
      <c r="G39" s="378">
        <f t="shared" si="2"/>
        <v>0</v>
      </c>
      <c r="H39" s="192"/>
    </row>
    <row r="40" spans="2:8" x14ac:dyDescent="0.2">
      <c r="B40" s="199"/>
      <c r="C40" s="200"/>
      <c r="D40" s="199"/>
      <c r="E40" s="199"/>
      <c r="F40" s="193"/>
      <c r="G40" s="378">
        <f t="shared" ref="G40:G46" si="3">F40</f>
        <v>0</v>
      </c>
      <c r="H40" s="192"/>
    </row>
    <row r="41" spans="2:8" x14ac:dyDescent="0.2">
      <c r="B41" s="199"/>
      <c r="C41" s="200"/>
      <c r="D41" s="199"/>
      <c r="E41" s="199"/>
      <c r="F41" s="193"/>
      <c r="G41" s="378">
        <f t="shared" si="3"/>
        <v>0</v>
      </c>
      <c r="H41" s="192"/>
    </row>
    <row r="42" spans="2:8" x14ac:dyDescent="0.2">
      <c r="B42" s="199"/>
      <c r="C42" s="200"/>
      <c r="D42" s="199"/>
      <c r="E42" s="199"/>
      <c r="F42" s="193"/>
      <c r="G42" s="378">
        <f t="shared" si="3"/>
        <v>0</v>
      </c>
      <c r="H42" s="192"/>
    </row>
    <row r="43" spans="2:8" x14ac:dyDescent="0.2">
      <c r="B43" s="199"/>
      <c r="C43" s="200"/>
      <c r="D43" s="199"/>
      <c r="E43" s="199"/>
      <c r="F43" s="193"/>
      <c r="G43" s="378">
        <f t="shared" si="3"/>
        <v>0</v>
      </c>
      <c r="H43" s="192"/>
    </row>
    <row r="44" spans="2:8" x14ac:dyDescent="0.2">
      <c r="B44" s="199"/>
      <c r="C44" s="200"/>
      <c r="D44" s="199"/>
      <c r="E44" s="199"/>
      <c r="F44" s="193"/>
      <c r="G44" s="378">
        <f t="shared" si="3"/>
        <v>0</v>
      </c>
      <c r="H44" s="192"/>
    </row>
    <row r="45" spans="2:8" x14ac:dyDescent="0.2">
      <c r="B45" s="199"/>
      <c r="C45" s="200"/>
      <c r="D45" s="199"/>
      <c r="E45" s="199"/>
      <c r="F45" s="193"/>
      <c r="G45" s="378">
        <f t="shared" si="3"/>
        <v>0</v>
      </c>
      <c r="H45" s="192"/>
    </row>
    <row r="46" spans="2:8" x14ac:dyDescent="0.2">
      <c r="B46" s="199"/>
      <c r="C46" s="200"/>
      <c r="D46" s="199"/>
      <c r="E46" s="199"/>
      <c r="F46" s="193"/>
      <c r="G46" s="378">
        <f t="shared" si="3"/>
        <v>0</v>
      </c>
      <c r="H46" s="192"/>
    </row>
    <row r="47" spans="2:8" x14ac:dyDescent="0.2">
      <c r="B47" s="709" t="s">
        <v>165</v>
      </c>
      <c r="C47" s="709"/>
      <c r="D47" s="195"/>
      <c r="E47" s="195"/>
      <c r="F47" s="198"/>
      <c r="G47" s="383">
        <f>SUM(G34:G46)</f>
        <v>0</v>
      </c>
      <c r="H47" s="198">
        <f>SUM(H34:H46)</f>
        <v>0</v>
      </c>
    </row>
    <row r="48" spans="2:8" x14ac:dyDescent="0.2">
      <c r="B48" s="199"/>
      <c r="C48" s="200"/>
      <c r="D48" s="199"/>
      <c r="E48" s="199"/>
      <c r="F48" s="193"/>
      <c r="G48" s="378"/>
      <c r="H48" s="192"/>
    </row>
    <row r="49" spans="2:11" x14ac:dyDescent="0.2">
      <c r="B49" s="195" t="s">
        <v>169</v>
      </c>
      <c r="C49" s="194" t="s">
        <v>351</v>
      </c>
      <c r="D49" s="199"/>
      <c r="E49" s="199"/>
      <c r="F49" s="193"/>
      <c r="G49" s="378">
        <f t="shared" ref="G49:G54" si="4">E49*F49</f>
        <v>0</v>
      </c>
      <c r="H49" s="192"/>
    </row>
    <row r="50" spans="2:11" x14ac:dyDescent="0.2">
      <c r="B50" s="195"/>
      <c r="C50" s="194"/>
      <c r="D50" s="199"/>
      <c r="E50" s="199"/>
      <c r="F50" s="193"/>
      <c r="G50" s="378">
        <f t="shared" si="4"/>
        <v>0</v>
      </c>
      <c r="H50" s="192"/>
    </row>
    <row r="51" spans="2:11" x14ac:dyDescent="0.2">
      <c r="B51" s="195"/>
      <c r="C51" s="194"/>
      <c r="D51" s="200"/>
      <c r="E51" s="199"/>
      <c r="F51" s="193"/>
      <c r="G51" s="378">
        <f t="shared" si="4"/>
        <v>0</v>
      </c>
      <c r="H51" s="192"/>
    </row>
    <row r="52" spans="2:11" x14ac:dyDescent="0.2">
      <c r="B52" s="195"/>
      <c r="C52" s="194"/>
      <c r="D52" s="200"/>
      <c r="E52" s="199"/>
      <c r="F52" s="193"/>
      <c r="G52" s="378">
        <f t="shared" si="4"/>
        <v>0</v>
      </c>
      <c r="H52" s="192"/>
    </row>
    <row r="53" spans="2:11" x14ac:dyDescent="0.2">
      <c r="B53" s="195"/>
      <c r="C53" s="194"/>
      <c r="D53" s="200"/>
      <c r="E53" s="199"/>
      <c r="F53" s="193"/>
      <c r="G53" s="378">
        <f t="shared" si="4"/>
        <v>0</v>
      </c>
      <c r="H53" s="192"/>
    </row>
    <row r="54" spans="2:11" x14ac:dyDescent="0.2">
      <c r="B54" s="195"/>
      <c r="C54" s="194"/>
      <c r="D54" s="200"/>
      <c r="E54" s="199"/>
      <c r="F54" s="193"/>
      <c r="G54" s="378">
        <f t="shared" si="4"/>
        <v>0</v>
      </c>
      <c r="H54" s="192"/>
    </row>
    <row r="55" spans="2:11" x14ac:dyDescent="0.2">
      <c r="B55" s="709" t="s">
        <v>165</v>
      </c>
      <c r="C55" s="709"/>
      <c r="D55" s="200"/>
      <c r="E55" s="199"/>
      <c r="F55" s="193"/>
      <c r="G55" s="378">
        <f>SUM(G49:G54)</f>
        <v>0</v>
      </c>
      <c r="H55" s="193">
        <f>SUM(H49:H54)</f>
        <v>0</v>
      </c>
    </row>
    <row r="56" spans="2:11" x14ac:dyDescent="0.2">
      <c r="B56" s="195"/>
      <c r="C56" s="195"/>
      <c r="D56" s="200"/>
      <c r="E56" s="199"/>
      <c r="F56" s="193"/>
      <c r="G56" s="378"/>
      <c r="H56" s="193"/>
    </row>
    <row r="57" spans="2:11" x14ac:dyDescent="0.2">
      <c r="B57" s="195" t="s">
        <v>170</v>
      </c>
      <c r="C57" s="195" t="s">
        <v>971</v>
      </c>
      <c r="D57" s="200"/>
      <c r="E57" s="199"/>
      <c r="F57" s="193"/>
      <c r="G57" s="378">
        <f>E57*F57</f>
        <v>0</v>
      </c>
      <c r="H57" s="193"/>
    </row>
    <row r="58" spans="2:11" x14ac:dyDescent="0.2">
      <c r="B58" s="195"/>
      <c r="C58" s="377" t="s">
        <v>870</v>
      </c>
      <c r="D58" s="200" t="s">
        <v>871</v>
      </c>
      <c r="E58" s="199">
        <v>1</v>
      </c>
      <c r="F58" s="193">
        <v>1863810</v>
      </c>
      <c r="G58" s="378">
        <f t="shared" ref="G58:G63" si="5">E58*F58/100000</f>
        <v>18.638100000000001</v>
      </c>
      <c r="H58" s="193"/>
    </row>
    <row r="59" spans="2:11" x14ac:dyDescent="0.2">
      <c r="B59" s="195"/>
      <c r="C59" s="377" t="s">
        <v>872</v>
      </c>
      <c r="D59" s="200" t="s">
        <v>724</v>
      </c>
      <c r="E59" s="199">
        <v>1</v>
      </c>
      <c r="F59" s="193">
        <v>300000</v>
      </c>
      <c r="G59" s="378">
        <f t="shared" si="5"/>
        <v>3</v>
      </c>
      <c r="H59" s="193"/>
    </row>
    <row r="60" spans="2:11" x14ac:dyDescent="0.2">
      <c r="B60" s="195"/>
      <c r="C60" s="194" t="s">
        <v>873</v>
      </c>
      <c r="D60" s="200"/>
      <c r="E60" s="199">
        <v>1</v>
      </c>
      <c r="F60" s="193">
        <v>75000</v>
      </c>
      <c r="G60" s="378">
        <f t="shared" si="5"/>
        <v>0.75</v>
      </c>
      <c r="H60" s="192"/>
      <c r="K60">
        <v>614000</v>
      </c>
    </row>
    <row r="61" spans="2:11" x14ac:dyDescent="0.2">
      <c r="B61" s="319"/>
      <c r="C61" s="194" t="s">
        <v>874</v>
      </c>
      <c r="D61" s="200"/>
      <c r="E61" s="199">
        <v>1</v>
      </c>
      <c r="F61" s="193">
        <v>500000</v>
      </c>
      <c r="G61" s="378">
        <f t="shared" si="5"/>
        <v>5</v>
      </c>
      <c r="H61" s="192"/>
    </row>
    <row r="62" spans="2:11" x14ac:dyDescent="0.2">
      <c r="B62" s="319"/>
      <c r="C62" s="194" t="s">
        <v>875</v>
      </c>
      <c r="D62" s="200"/>
      <c r="E62" s="199">
        <v>1</v>
      </c>
      <c r="F62" s="193">
        <v>150000</v>
      </c>
      <c r="G62" s="378">
        <f t="shared" si="5"/>
        <v>1.5</v>
      </c>
      <c r="H62" s="192"/>
    </row>
    <row r="63" spans="2:11" x14ac:dyDescent="0.2">
      <c r="B63" s="650"/>
      <c r="C63" s="194" t="s">
        <v>953</v>
      </c>
      <c r="D63" s="200" t="s">
        <v>954</v>
      </c>
      <c r="E63" s="199">
        <v>1</v>
      </c>
      <c r="F63" s="193">
        <v>320000</v>
      </c>
      <c r="G63" s="378">
        <f t="shared" si="5"/>
        <v>3.2</v>
      </c>
      <c r="H63" s="192"/>
    </row>
    <row r="64" spans="2:11" x14ac:dyDescent="0.2">
      <c r="B64" s="319"/>
      <c r="C64" s="194"/>
      <c r="D64" s="200"/>
      <c r="E64" s="199"/>
      <c r="F64" s="193"/>
      <c r="G64" s="378"/>
      <c r="H64" s="192"/>
    </row>
    <row r="65" spans="1:11" x14ac:dyDescent="0.2">
      <c r="B65" s="709" t="s">
        <v>165</v>
      </c>
      <c r="C65" s="709"/>
      <c r="D65" s="200"/>
      <c r="E65" s="199"/>
      <c r="F65" s="193"/>
      <c r="G65" s="378">
        <f>SUM(G58:G63)</f>
        <v>32.088100000000004</v>
      </c>
      <c r="H65" s="193">
        <f>SUM(H57:H60)</f>
        <v>0</v>
      </c>
    </row>
    <row r="66" spans="1:11" x14ac:dyDescent="0.2">
      <c r="B66" s="199"/>
      <c r="C66" s="200"/>
      <c r="D66" s="200"/>
      <c r="E66" s="199"/>
      <c r="F66" s="193"/>
      <c r="G66" s="378"/>
      <c r="H66" s="192"/>
    </row>
    <row r="67" spans="1:11" x14ac:dyDescent="0.2">
      <c r="B67" s="708" t="s">
        <v>1</v>
      </c>
      <c r="C67" s="708"/>
      <c r="D67" s="708"/>
      <c r="E67" s="708"/>
      <c r="F67" s="708"/>
      <c r="G67" s="384">
        <f>G55+G47+G32+G65</f>
        <v>32.088100000000004</v>
      </c>
      <c r="H67" s="189">
        <f>H47+H21+H55+H65</f>
        <v>0</v>
      </c>
    </row>
    <row r="68" spans="1:11" x14ac:dyDescent="0.2">
      <c r="B68" s="19"/>
    </row>
    <row r="69" spans="1:11" x14ac:dyDescent="0.2">
      <c r="B69" s="705" t="s">
        <v>395</v>
      </c>
      <c r="C69" s="705"/>
      <c r="D69" s="705"/>
      <c r="E69" s="705"/>
      <c r="F69" s="705"/>
      <c r="G69" s="705"/>
      <c r="H69" s="705"/>
    </row>
    <row r="70" spans="1:11" x14ac:dyDescent="0.2">
      <c r="B70" s="19"/>
      <c r="I70" s="19"/>
      <c r="J70" s="19"/>
      <c r="K70" s="20"/>
    </row>
    <row r="73" spans="1:11" ht="18" x14ac:dyDescent="0.2">
      <c r="A73">
        <v>2.2999999999999998</v>
      </c>
      <c r="B73" s="704" t="s">
        <v>362</v>
      </c>
      <c r="C73" s="704"/>
      <c r="D73" s="704"/>
      <c r="E73" s="704"/>
      <c r="F73" s="704"/>
    </row>
    <row r="75" spans="1:11" ht="25.5" x14ac:dyDescent="0.2">
      <c r="B75" s="22" t="s">
        <v>140</v>
      </c>
      <c r="C75" s="48" t="s">
        <v>125</v>
      </c>
      <c r="D75" s="48" t="s">
        <v>147</v>
      </c>
      <c r="E75" s="48" t="s">
        <v>148</v>
      </c>
      <c r="F75" s="48" t="s">
        <v>154</v>
      </c>
    </row>
    <row r="76" spans="1:11" x14ac:dyDescent="0.2">
      <c r="B76" s="201">
        <v>1</v>
      </c>
      <c r="C76" s="224"/>
      <c r="D76" s="201"/>
      <c r="E76" s="202"/>
      <c r="F76" s="203">
        <f t="shared" ref="F76:F81" si="6">D76*E76</f>
        <v>0</v>
      </c>
    </row>
    <row r="77" spans="1:11" x14ac:dyDescent="0.2">
      <c r="B77" s="201"/>
      <c r="C77" s="224"/>
      <c r="D77" s="201"/>
      <c r="E77" s="202"/>
      <c r="F77" s="203">
        <f t="shared" si="6"/>
        <v>0</v>
      </c>
    </row>
    <row r="78" spans="1:11" x14ac:dyDescent="0.2">
      <c r="B78" s="201"/>
      <c r="C78" s="224"/>
      <c r="D78" s="201"/>
      <c r="E78" s="202"/>
      <c r="F78" s="203">
        <f t="shared" si="6"/>
        <v>0</v>
      </c>
    </row>
    <row r="79" spans="1:11" x14ac:dyDescent="0.2">
      <c r="B79" s="201"/>
      <c r="C79" s="224"/>
      <c r="D79" s="201"/>
      <c r="E79" s="202"/>
      <c r="F79" s="203">
        <f t="shared" si="6"/>
        <v>0</v>
      </c>
    </row>
    <row r="80" spans="1:11" x14ac:dyDescent="0.2">
      <c r="B80" s="201"/>
      <c r="C80" s="224"/>
      <c r="D80" s="201"/>
      <c r="E80" s="202"/>
      <c r="F80" s="203">
        <f t="shared" si="6"/>
        <v>0</v>
      </c>
    </row>
    <row r="81" spans="1:7" x14ac:dyDescent="0.2">
      <c r="B81" s="201"/>
      <c r="C81" s="224"/>
      <c r="D81" s="201"/>
      <c r="E81" s="202"/>
      <c r="F81" s="203">
        <f t="shared" si="6"/>
        <v>0</v>
      </c>
    </row>
    <row r="82" spans="1:7" x14ac:dyDescent="0.2">
      <c r="B82" s="714" t="s">
        <v>1</v>
      </c>
      <c r="C82" s="714"/>
      <c r="D82" s="714"/>
      <c r="E82" s="714"/>
      <c r="F82" s="21">
        <f>SUM(F76:F81)</f>
        <v>0</v>
      </c>
    </row>
    <row r="84" spans="1:7" x14ac:dyDescent="0.2">
      <c r="A84" s="705" t="s">
        <v>396</v>
      </c>
      <c r="B84" s="705"/>
      <c r="C84" s="705"/>
      <c r="D84" s="705"/>
      <c r="E84" s="705"/>
      <c r="F84" s="705"/>
      <c r="G84" s="705"/>
    </row>
    <row r="87" spans="1:7" ht="18" x14ac:dyDescent="0.2">
      <c r="A87">
        <v>2.4</v>
      </c>
      <c r="B87" s="704" t="s">
        <v>361</v>
      </c>
      <c r="C87" s="704"/>
      <c r="D87" s="704"/>
      <c r="E87" s="704"/>
      <c r="F87" s="704"/>
    </row>
    <row r="89" spans="1:7" ht="25.5" x14ac:dyDescent="0.2">
      <c r="B89" s="22" t="s">
        <v>140</v>
      </c>
      <c r="C89" s="51" t="s">
        <v>125</v>
      </c>
      <c r="D89" s="51" t="s">
        <v>147</v>
      </c>
      <c r="E89" s="51" t="s">
        <v>148</v>
      </c>
      <c r="F89" s="51" t="s">
        <v>154</v>
      </c>
    </row>
    <row r="90" spans="1:7" x14ac:dyDescent="0.2">
      <c r="B90" s="201">
        <v>1</v>
      </c>
      <c r="C90" s="224"/>
      <c r="D90" s="201"/>
      <c r="E90" s="202"/>
      <c r="F90" s="203">
        <f t="shared" ref="F90:F95" si="7">D90*E90</f>
        <v>0</v>
      </c>
    </row>
    <row r="91" spans="1:7" x14ac:dyDescent="0.2">
      <c r="B91" s="201"/>
      <c r="C91" s="224"/>
      <c r="D91" s="201"/>
      <c r="E91" s="202"/>
      <c r="F91" s="203">
        <f t="shared" si="7"/>
        <v>0</v>
      </c>
    </row>
    <row r="92" spans="1:7" x14ac:dyDescent="0.2">
      <c r="B92" s="201"/>
      <c r="C92" s="224"/>
      <c r="D92" s="201"/>
      <c r="E92" s="202"/>
      <c r="F92" s="203">
        <f t="shared" si="7"/>
        <v>0</v>
      </c>
    </row>
    <row r="93" spans="1:7" x14ac:dyDescent="0.2">
      <c r="B93" s="201"/>
      <c r="C93" s="224"/>
      <c r="D93" s="201"/>
      <c r="E93" s="202"/>
      <c r="F93" s="203">
        <f t="shared" si="7"/>
        <v>0</v>
      </c>
    </row>
    <row r="94" spans="1:7" x14ac:dyDescent="0.2">
      <c r="B94" s="201"/>
      <c r="C94" s="224"/>
      <c r="D94" s="201"/>
      <c r="E94" s="202"/>
      <c r="F94" s="203">
        <f t="shared" si="7"/>
        <v>0</v>
      </c>
    </row>
    <row r="95" spans="1:7" x14ac:dyDescent="0.2">
      <c r="B95" s="201"/>
      <c r="C95" s="224"/>
      <c r="D95" s="201"/>
      <c r="E95" s="202"/>
      <c r="F95" s="203">
        <f t="shared" si="7"/>
        <v>0</v>
      </c>
    </row>
    <row r="96" spans="1:7" x14ac:dyDescent="0.2">
      <c r="B96" s="714" t="s">
        <v>1</v>
      </c>
      <c r="C96" s="714"/>
      <c r="D96" s="714"/>
      <c r="E96" s="714"/>
      <c r="F96" s="21">
        <f>SUM(F90:F95)</f>
        <v>0</v>
      </c>
    </row>
    <row r="98" spans="1:7" x14ac:dyDescent="0.2">
      <c r="A98" s="705" t="s">
        <v>396</v>
      </c>
      <c r="B98" s="705"/>
      <c r="C98" s="705"/>
      <c r="D98" s="705"/>
      <c r="E98" s="705"/>
      <c r="F98" s="705"/>
      <c r="G98" s="705"/>
    </row>
    <row r="101" spans="1:7" ht="18" x14ac:dyDescent="0.2">
      <c r="A101">
        <v>2.5</v>
      </c>
      <c r="B101" s="704" t="s">
        <v>581</v>
      </c>
      <c r="C101" s="704"/>
      <c r="D101" s="704"/>
      <c r="E101" s="704"/>
      <c r="F101" s="704"/>
    </row>
    <row r="103" spans="1:7" ht="25.5" x14ac:dyDescent="0.2">
      <c r="B103" s="176" t="s">
        <v>140</v>
      </c>
      <c r="C103" s="177" t="s">
        <v>125</v>
      </c>
      <c r="D103" s="177" t="s">
        <v>147</v>
      </c>
      <c r="E103" s="177" t="s">
        <v>148</v>
      </c>
      <c r="F103" s="177" t="s">
        <v>154</v>
      </c>
    </row>
    <row r="104" spans="1:7" x14ac:dyDescent="0.2">
      <c r="B104" s="199">
        <v>1</v>
      </c>
      <c r="C104" s="200"/>
      <c r="D104" s="199"/>
      <c r="E104" s="204"/>
      <c r="F104" s="193">
        <f>E104*D104</f>
        <v>0</v>
      </c>
    </row>
    <row r="105" spans="1:7" x14ac:dyDescent="0.2">
      <c r="B105" s="199"/>
      <c r="C105" s="200"/>
      <c r="D105" s="199"/>
      <c r="E105" s="204"/>
      <c r="F105" s="193">
        <f>E105*D105</f>
        <v>0</v>
      </c>
    </row>
    <row r="106" spans="1:7" x14ac:dyDescent="0.2">
      <c r="B106" s="199"/>
      <c r="C106" s="200"/>
      <c r="D106" s="199"/>
      <c r="E106" s="204"/>
      <c r="F106" s="193">
        <f>E106*D106</f>
        <v>0</v>
      </c>
    </row>
    <row r="107" spans="1:7" x14ac:dyDescent="0.2">
      <c r="B107" s="708" t="s">
        <v>1</v>
      </c>
      <c r="C107" s="708"/>
      <c r="D107" s="708"/>
      <c r="E107" s="708"/>
      <c r="F107" s="179">
        <f>SUM(F104:F106)</f>
        <v>0</v>
      </c>
    </row>
    <row r="108" spans="1:7" x14ac:dyDescent="0.2">
      <c r="A108" s="713" t="s">
        <v>433</v>
      </c>
      <c r="B108" s="713"/>
      <c r="C108" s="713"/>
      <c r="D108" s="713"/>
      <c r="E108" s="713"/>
      <c r="F108" s="713"/>
      <c r="G108" s="713"/>
    </row>
    <row r="111" spans="1:7" ht="18" x14ac:dyDescent="0.2">
      <c r="A111">
        <v>2.6</v>
      </c>
      <c r="B111" s="704" t="s">
        <v>246</v>
      </c>
      <c r="C111" s="704"/>
      <c r="D111" s="704"/>
    </row>
    <row r="112" spans="1:7" ht="15.75" thickBot="1" x14ac:dyDescent="0.25"/>
    <row r="113" spans="1:5" ht="26.25" thickBot="1" x14ac:dyDescent="0.25">
      <c r="B113" s="187" t="s">
        <v>140</v>
      </c>
      <c r="C113" s="188" t="s">
        <v>125</v>
      </c>
      <c r="D113" s="188" t="s">
        <v>360</v>
      </c>
    </row>
    <row r="114" spans="1:5" ht="15.75" thickBot="1" x14ac:dyDescent="0.25">
      <c r="B114" s="225">
        <v>1</v>
      </c>
      <c r="C114" s="226" t="s">
        <v>725</v>
      </c>
      <c r="D114" s="385">
        <f>+(G67+G12)*5%</f>
        <v>7.0699050000000003</v>
      </c>
    </row>
    <row r="115" spans="1:5" ht="15.75" thickBot="1" x14ac:dyDescent="0.25">
      <c r="B115" s="225">
        <v>2</v>
      </c>
      <c r="C115" s="226"/>
      <c r="D115" s="205"/>
    </row>
    <row r="116" spans="1:5" ht="15.75" thickBot="1" x14ac:dyDescent="0.25">
      <c r="B116" s="225">
        <v>3</v>
      </c>
      <c r="C116" s="226"/>
      <c r="D116" s="205"/>
    </row>
    <row r="117" spans="1:5" ht="15.75" thickBot="1" x14ac:dyDescent="0.25">
      <c r="B117" s="225"/>
      <c r="C117" s="226"/>
      <c r="D117" s="205"/>
    </row>
    <row r="118" spans="1:5" ht="15.75" thickBot="1" x14ac:dyDescent="0.25">
      <c r="B118" s="225"/>
      <c r="C118" s="226"/>
      <c r="D118" s="205"/>
    </row>
    <row r="119" spans="1:5" ht="15.75" thickBot="1" x14ac:dyDescent="0.25">
      <c r="B119" s="710" t="s">
        <v>1</v>
      </c>
      <c r="C119" s="711"/>
      <c r="D119" s="386">
        <f>SUM(D114:D118)</f>
        <v>7.0699050000000003</v>
      </c>
    </row>
    <row r="121" spans="1:5" ht="26.1" customHeight="1" thickBot="1" x14ac:dyDescent="0.25">
      <c r="A121" s="712" t="s">
        <v>434</v>
      </c>
      <c r="B121" s="712"/>
      <c r="C121" s="712"/>
      <c r="D121" s="712"/>
      <c r="E121" s="712"/>
    </row>
    <row r="122" spans="1:5" ht="26.1" customHeight="1" thickBot="1" x14ac:dyDescent="0.25">
      <c r="A122" s="318">
        <v>2.7</v>
      </c>
      <c r="B122" s="187" t="s">
        <v>140</v>
      </c>
      <c r="C122" s="188" t="s">
        <v>125</v>
      </c>
      <c r="D122" s="188" t="s">
        <v>360</v>
      </c>
      <c r="E122" s="318"/>
    </row>
    <row r="123" spans="1:5" ht="26.1" customHeight="1" thickBot="1" x14ac:dyDescent="0.25">
      <c r="A123" s="318"/>
      <c r="B123" s="225">
        <v>1</v>
      </c>
      <c r="C123" s="226" t="s">
        <v>152</v>
      </c>
      <c r="D123" s="385">
        <f>+'1.Project Cost and MOF'!D11</f>
        <v>2.6909028782793207</v>
      </c>
      <c r="E123" s="318"/>
    </row>
    <row r="124" spans="1:5" ht="26.1" customHeight="1" thickBot="1" x14ac:dyDescent="0.25">
      <c r="A124" s="318"/>
      <c r="B124" s="710" t="s">
        <v>1</v>
      </c>
      <c r="C124" s="711"/>
      <c r="D124" s="386">
        <f>+D123</f>
        <v>2.6909028782793207</v>
      </c>
      <c r="E124" s="318"/>
    </row>
    <row r="125" spans="1:5" ht="26.1" customHeight="1" x14ac:dyDescent="0.2">
      <c r="A125" s="318"/>
      <c r="B125" s="318"/>
      <c r="C125" s="318"/>
      <c r="D125" s="318"/>
      <c r="E125" s="318"/>
    </row>
  </sheetData>
  <mergeCells count="23">
    <mergeCell ref="B124:C124"/>
    <mergeCell ref="B119:C119"/>
    <mergeCell ref="A121:E121"/>
    <mergeCell ref="B65:C65"/>
    <mergeCell ref="A98:G98"/>
    <mergeCell ref="B107:E107"/>
    <mergeCell ref="B101:F101"/>
    <mergeCell ref="A108:G108"/>
    <mergeCell ref="B111:D111"/>
    <mergeCell ref="B82:E82"/>
    <mergeCell ref="B73:F73"/>
    <mergeCell ref="A84:G84"/>
    <mergeCell ref="B96:E96"/>
    <mergeCell ref="B87:F87"/>
    <mergeCell ref="B12:F12"/>
    <mergeCell ref="B2:G2"/>
    <mergeCell ref="B15:G15"/>
    <mergeCell ref="B69:H69"/>
    <mergeCell ref="B67:F67"/>
    <mergeCell ref="B17:H17"/>
    <mergeCell ref="B32:C32"/>
    <mergeCell ref="B47:C47"/>
    <mergeCell ref="B55:C55"/>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96"/>
  <sheetViews>
    <sheetView view="pageBreakPreview" zoomScale="70" zoomScaleSheetLayoutView="70" workbookViewId="0" xr3:uid="{51F8DEE0-4D01-5F28-A812-FC0BD7CAC4A5}">
      <selection activeCell="B87" sqref="B87:H91"/>
    </sheetView>
  </sheetViews>
  <sheetFormatPr defaultRowHeight="15" x14ac:dyDescent="0.2"/>
  <cols>
    <col min="1" max="1" width="30.1328125" customWidth="1"/>
    <col min="2" max="2" width="11.1640625" customWidth="1"/>
    <col min="3" max="9" width="11.1640625" style="18" customWidth="1"/>
    <col min="10" max="10" width="14.66015625" customWidth="1"/>
    <col min="11" max="11" width="14.796875" style="18" customWidth="1"/>
    <col min="12" max="13" width="11.703125" style="18" bestFit="1" customWidth="1"/>
    <col min="14" max="16" width="10.625" style="18" bestFit="1" customWidth="1"/>
    <col min="17" max="17" width="17.21875" style="18" bestFit="1" customWidth="1"/>
    <col min="18" max="18" width="9.14453125" style="18"/>
  </cols>
  <sheetData>
    <row r="2" spans="1:18" ht="18" x14ac:dyDescent="0.2">
      <c r="A2" s="702" t="s">
        <v>503</v>
      </c>
      <c r="B2" s="702"/>
      <c r="C2" s="702"/>
      <c r="D2" s="702"/>
      <c r="E2" s="702"/>
      <c r="F2" s="702"/>
      <c r="G2" s="702"/>
      <c r="H2" s="702"/>
      <c r="I2" s="702"/>
      <c r="J2" s="556"/>
      <c r="K2" s="556"/>
    </row>
    <row r="3" spans="1:18" x14ac:dyDescent="0.2">
      <c r="C3" s="454">
        <v>1</v>
      </c>
      <c r="D3" s="454">
        <v>1.05</v>
      </c>
      <c r="E3" s="454">
        <f>+D3*1.05</f>
        <v>1.1025</v>
      </c>
      <c r="F3" s="454">
        <f t="shared" ref="F3:I3" si="0">+E3*1.05</f>
        <v>1.1576250000000001</v>
      </c>
      <c r="G3" s="454">
        <f t="shared" si="0"/>
        <v>1.2155062500000002</v>
      </c>
      <c r="H3" s="454">
        <f t="shared" si="0"/>
        <v>1.2762815625000004</v>
      </c>
      <c r="I3" s="454">
        <f t="shared" si="0"/>
        <v>1.3400956406250004</v>
      </c>
    </row>
    <row r="4" spans="1:18" s="252" customFormat="1" x14ac:dyDescent="0.2">
      <c r="A4" s="135" t="s">
        <v>0</v>
      </c>
      <c r="B4" s="122" t="s">
        <v>723</v>
      </c>
      <c r="C4" s="457" t="s">
        <v>2</v>
      </c>
      <c r="D4" s="457" t="s">
        <v>3</v>
      </c>
      <c r="E4" s="457" t="s">
        <v>4</v>
      </c>
      <c r="F4" s="457" t="s">
        <v>5</v>
      </c>
      <c r="G4" s="457" t="s">
        <v>6</v>
      </c>
      <c r="H4" s="457" t="s">
        <v>163</v>
      </c>
      <c r="I4" s="457" t="s">
        <v>162</v>
      </c>
      <c r="J4" s="512"/>
      <c r="K4" s="513"/>
      <c r="L4" s="513"/>
      <c r="M4" s="513"/>
      <c r="N4" s="513"/>
      <c r="O4" s="513"/>
      <c r="P4" s="513"/>
      <c r="Q4" s="513"/>
      <c r="R4" s="514"/>
    </row>
    <row r="5" spans="1:18" x14ac:dyDescent="0.2">
      <c r="A5" s="284" t="s">
        <v>691</v>
      </c>
      <c r="B5" s="367"/>
      <c r="C5" s="455"/>
      <c r="D5" s="455"/>
      <c r="E5" s="455"/>
      <c r="F5" s="455"/>
      <c r="G5" s="455"/>
      <c r="H5" s="455"/>
      <c r="I5" s="455"/>
      <c r="J5" s="374"/>
      <c r="K5" s="478"/>
      <c r="L5" s="478"/>
    </row>
    <row r="6" spans="1:18" x14ac:dyDescent="0.2">
      <c r="A6" s="133" t="s">
        <v>692</v>
      </c>
      <c r="B6" s="133" t="s">
        <v>693</v>
      </c>
      <c r="C6" s="460">
        <f>2000*12/100000</f>
        <v>0.24</v>
      </c>
      <c r="D6" s="460">
        <f t="shared" ref="D6:I6" si="1">+$C$6*D3</f>
        <v>0.252</v>
      </c>
      <c r="E6" s="460">
        <f t="shared" si="1"/>
        <v>0.2646</v>
      </c>
      <c r="F6" s="460">
        <f t="shared" si="1"/>
        <v>0.27783000000000002</v>
      </c>
      <c r="G6" s="460">
        <f t="shared" si="1"/>
        <v>0.29172150000000002</v>
      </c>
      <c r="H6" s="460">
        <f t="shared" si="1"/>
        <v>0.30630757500000005</v>
      </c>
      <c r="I6" s="460">
        <f t="shared" si="1"/>
        <v>0.32162295375000011</v>
      </c>
      <c r="J6" s="375"/>
      <c r="K6" s="479"/>
      <c r="L6" s="479"/>
    </row>
    <row r="7" spans="1:18" x14ac:dyDescent="0.2">
      <c r="A7" s="133" t="s">
        <v>694</v>
      </c>
      <c r="B7" s="133" t="s">
        <v>695</v>
      </c>
      <c r="C7" s="460">
        <f>1000*12/100000</f>
        <v>0.12</v>
      </c>
      <c r="D7" s="460">
        <f t="shared" ref="D7:I7" si="2">+$C$7*D3</f>
        <v>0.126</v>
      </c>
      <c r="E7" s="460">
        <f t="shared" si="2"/>
        <v>0.1323</v>
      </c>
      <c r="F7" s="460">
        <f t="shared" si="2"/>
        <v>0.13891500000000001</v>
      </c>
      <c r="G7" s="460">
        <f t="shared" si="2"/>
        <v>0.14586075000000001</v>
      </c>
      <c r="H7" s="460">
        <f t="shared" si="2"/>
        <v>0.15315378750000003</v>
      </c>
      <c r="I7" s="460">
        <f t="shared" si="2"/>
        <v>0.16081147687500005</v>
      </c>
      <c r="J7" s="375"/>
      <c r="K7" s="479"/>
      <c r="L7" s="479"/>
    </row>
    <row r="8" spans="1:18" x14ac:dyDescent="0.2">
      <c r="A8" s="133" t="s">
        <v>696</v>
      </c>
      <c r="B8" s="133" t="s">
        <v>697</v>
      </c>
      <c r="C8" s="460">
        <v>0.03</v>
      </c>
      <c r="D8" s="460">
        <f>C8</f>
        <v>0.03</v>
      </c>
      <c r="E8" s="460">
        <f t="shared" ref="E8:I8" si="3">D8</f>
        <v>0.03</v>
      </c>
      <c r="F8" s="460">
        <f t="shared" si="3"/>
        <v>0.03</v>
      </c>
      <c r="G8" s="460">
        <f t="shared" si="3"/>
        <v>0.03</v>
      </c>
      <c r="H8" s="460">
        <f t="shared" si="3"/>
        <v>0.03</v>
      </c>
      <c r="I8" s="460">
        <f t="shared" si="3"/>
        <v>0.03</v>
      </c>
      <c r="J8" s="375"/>
      <c r="K8" s="479"/>
      <c r="L8" s="479"/>
    </row>
    <row r="9" spans="1:18" x14ac:dyDescent="0.2">
      <c r="A9" s="133" t="s">
        <v>698</v>
      </c>
      <c r="B9" s="133" t="s">
        <v>699</v>
      </c>
      <c r="C9" s="460">
        <v>0.15</v>
      </c>
      <c r="D9" s="460">
        <f t="shared" ref="D9:I9" si="4">+$C$9*D3</f>
        <v>0.1575</v>
      </c>
      <c r="E9" s="460">
        <f t="shared" si="4"/>
        <v>0.16537499999999999</v>
      </c>
      <c r="F9" s="460">
        <f t="shared" si="4"/>
        <v>0.17364375000000001</v>
      </c>
      <c r="G9" s="460">
        <f t="shared" si="4"/>
        <v>0.18232593750000003</v>
      </c>
      <c r="H9" s="460">
        <f t="shared" si="4"/>
        <v>0.19144223437500005</v>
      </c>
      <c r="I9" s="460">
        <f t="shared" si="4"/>
        <v>0.20101434609375005</v>
      </c>
      <c r="J9" s="375"/>
      <c r="K9" s="479"/>
      <c r="L9" s="479"/>
    </row>
    <row r="10" spans="1:18" x14ac:dyDescent="0.2">
      <c r="A10" s="133" t="s">
        <v>700</v>
      </c>
      <c r="B10" s="133" t="s">
        <v>701</v>
      </c>
      <c r="C10" s="460">
        <f>+'Input Sheet'!$E$183/100000</f>
        <v>0.12</v>
      </c>
      <c r="D10" s="460">
        <f t="shared" ref="D10:I10" si="5">+$C$10*D3</f>
        <v>0.126</v>
      </c>
      <c r="E10" s="460">
        <f t="shared" si="5"/>
        <v>0.1323</v>
      </c>
      <c r="F10" s="460">
        <f t="shared" si="5"/>
        <v>0.13891500000000001</v>
      </c>
      <c r="G10" s="460">
        <f t="shared" si="5"/>
        <v>0.14586075000000001</v>
      </c>
      <c r="H10" s="460">
        <f t="shared" si="5"/>
        <v>0.15315378750000003</v>
      </c>
      <c r="I10" s="460">
        <f t="shared" si="5"/>
        <v>0.16081147687500005</v>
      </c>
      <c r="J10" s="375"/>
      <c r="K10" s="479"/>
      <c r="L10" s="479"/>
    </row>
    <row r="11" spans="1:18" x14ac:dyDescent="0.2">
      <c r="A11" s="133" t="s">
        <v>702</v>
      </c>
      <c r="B11" s="133" t="s">
        <v>703</v>
      </c>
      <c r="C11" s="460">
        <f>3000*12/100000</f>
        <v>0.36</v>
      </c>
      <c r="D11" s="460">
        <f>+$C11*D$3</f>
        <v>0.378</v>
      </c>
      <c r="E11" s="460">
        <f t="shared" ref="E11:I12" si="6">+$C11*E$3</f>
        <v>0.39689999999999998</v>
      </c>
      <c r="F11" s="460">
        <f t="shared" si="6"/>
        <v>0.41674500000000003</v>
      </c>
      <c r="G11" s="460">
        <f t="shared" si="6"/>
        <v>0.43758225000000006</v>
      </c>
      <c r="H11" s="460">
        <f t="shared" si="6"/>
        <v>0.45946136250000014</v>
      </c>
      <c r="I11" s="460">
        <f t="shared" si="6"/>
        <v>0.48243443062500013</v>
      </c>
      <c r="J11" s="375"/>
      <c r="K11" s="479"/>
      <c r="L11" s="479"/>
    </row>
    <row r="12" spans="1:18" x14ac:dyDescent="0.2">
      <c r="A12" s="133" t="s">
        <v>704</v>
      </c>
      <c r="B12" s="133" t="s">
        <v>703</v>
      </c>
      <c r="C12" s="460">
        <f>3000*12/100000</f>
        <v>0.36</v>
      </c>
      <c r="D12" s="460">
        <f t="shared" ref="D12:I17" si="7">+$C12*D$3</f>
        <v>0.378</v>
      </c>
      <c r="E12" s="460">
        <f t="shared" si="6"/>
        <v>0.39689999999999998</v>
      </c>
      <c r="F12" s="460">
        <f t="shared" si="6"/>
        <v>0.41674500000000003</v>
      </c>
      <c r="G12" s="460">
        <f t="shared" si="6"/>
        <v>0.43758225000000006</v>
      </c>
      <c r="H12" s="460">
        <f t="shared" si="6"/>
        <v>0.45946136250000014</v>
      </c>
      <c r="I12" s="460">
        <f t="shared" si="6"/>
        <v>0.48243443062500013</v>
      </c>
      <c r="J12" s="375"/>
      <c r="K12" s="479"/>
      <c r="L12" s="479"/>
    </row>
    <row r="13" spans="1:18" x14ac:dyDescent="0.2">
      <c r="A13" s="133" t="s">
        <v>705</v>
      </c>
      <c r="B13" s="133" t="s">
        <v>706</v>
      </c>
      <c r="C13" s="460">
        <f>+'Input Sheet'!H160+'Input Sheet'!H161+'Input Sheet'!H162+'Input Sheet'!H163</f>
        <v>5.16</v>
      </c>
      <c r="D13" s="460">
        <f t="shared" si="7"/>
        <v>5.4180000000000001</v>
      </c>
      <c r="E13" s="460">
        <f t="shared" si="7"/>
        <v>5.6889000000000003</v>
      </c>
      <c r="F13" s="460">
        <f t="shared" si="7"/>
        <v>5.973345000000001</v>
      </c>
      <c r="G13" s="460">
        <f t="shared" si="7"/>
        <v>6.2720122500000013</v>
      </c>
      <c r="H13" s="460">
        <f t="shared" si="7"/>
        <v>6.5856128625000023</v>
      </c>
      <c r="I13" s="460">
        <f t="shared" si="7"/>
        <v>6.9148935056250025</v>
      </c>
      <c r="J13" s="375"/>
      <c r="K13" s="479"/>
      <c r="L13" s="479"/>
    </row>
    <row r="14" spans="1:18" x14ac:dyDescent="0.2">
      <c r="A14" s="133" t="s">
        <v>707</v>
      </c>
      <c r="B14" s="133" t="s">
        <v>708</v>
      </c>
      <c r="C14" s="460">
        <f>5000*12/100000</f>
        <v>0.6</v>
      </c>
      <c r="D14" s="460">
        <f t="shared" si="7"/>
        <v>0.63</v>
      </c>
      <c r="E14" s="460">
        <f t="shared" si="7"/>
        <v>0.66149999999999998</v>
      </c>
      <c r="F14" s="460">
        <f t="shared" si="7"/>
        <v>0.69457500000000005</v>
      </c>
      <c r="G14" s="460">
        <f t="shared" si="7"/>
        <v>0.72930375000000014</v>
      </c>
      <c r="H14" s="460">
        <f t="shared" si="7"/>
        <v>0.76576893750000019</v>
      </c>
      <c r="I14" s="460">
        <f t="shared" si="7"/>
        <v>0.80405738437500018</v>
      </c>
      <c r="J14" s="375"/>
      <c r="K14" s="479"/>
      <c r="L14" s="479"/>
    </row>
    <row r="15" spans="1:18" x14ac:dyDescent="0.2">
      <c r="A15" s="133" t="s">
        <v>709</v>
      </c>
      <c r="B15" s="133" t="s">
        <v>708</v>
      </c>
      <c r="C15" s="460">
        <f>5000*12/100000</f>
        <v>0.6</v>
      </c>
      <c r="D15" s="460">
        <f t="shared" si="7"/>
        <v>0.63</v>
      </c>
      <c r="E15" s="460">
        <f t="shared" si="7"/>
        <v>0.66149999999999998</v>
      </c>
      <c r="F15" s="460">
        <f t="shared" si="7"/>
        <v>0.69457500000000005</v>
      </c>
      <c r="G15" s="460">
        <f t="shared" si="7"/>
        <v>0.72930375000000014</v>
      </c>
      <c r="H15" s="460">
        <f t="shared" si="7"/>
        <v>0.76576893750000019</v>
      </c>
      <c r="I15" s="460">
        <f t="shared" si="7"/>
        <v>0.80405738437500018</v>
      </c>
      <c r="J15" s="375"/>
      <c r="K15" s="479"/>
      <c r="L15" s="479"/>
    </row>
    <row r="16" spans="1:18" x14ac:dyDescent="0.2">
      <c r="A16" s="133" t="s">
        <v>710</v>
      </c>
      <c r="B16" s="133" t="s">
        <v>711</v>
      </c>
      <c r="C16" s="460">
        <v>0.12</v>
      </c>
      <c r="D16" s="460">
        <f t="shared" si="7"/>
        <v>0.126</v>
      </c>
      <c r="E16" s="460">
        <f t="shared" si="7"/>
        <v>0.1323</v>
      </c>
      <c r="F16" s="460">
        <f t="shared" si="7"/>
        <v>0.13891500000000001</v>
      </c>
      <c r="G16" s="460">
        <f t="shared" si="7"/>
        <v>0.14586075000000001</v>
      </c>
      <c r="H16" s="460">
        <f t="shared" si="7"/>
        <v>0.15315378750000003</v>
      </c>
      <c r="I16" s="460">
        <f t="shared" si="7"/>
        <v>0.16081147687500005</v>
      </c>
      <c r="J16" s="375"/>
      <c r="K16" s="479"/>
      <c r="L16" s="479"/>
    </row>
    <row r="17" spans="1:18" x14ac:dyDescent="0.2">
      <c r="A17" s="133" t="s">
        <v>712</v>
      </c>
      <c r="B17" s="133" t="s">
        <v>713</v>
      </c>
      <c r="C17" s="460">
        <f t="shared" ref="C17" si="8">C13*0.1</f>
        <v>0.51600000000000001</v>
      </c>
      <c r="D17" s="460">
        <f t="shared" si="7"/>
        <v>0.54180000000000006</v>
      </c>
      <c r="E17" s="460">
        <f t="shared" si="7"/>
        <v>0.56889000000000001</v>
      </c>
      <c r="F17" s="460">
        <f t="shared" si="7"/>
        <v>0.5973345000000001</v>
      </c>
      <c r="G17" s="460">
        <f t="shared" si="7"/>
        <v>0.62720122500000008</v>
      </c>
      <c r="H17" s="460">
        <f t="shared" si="7"/>
        <v>0.65856128625000021</v>
      </c>
      <c r="I17" s="460">
        <f t="shared" si="7"/>
        <v>0.69148935056250027</v>
      </c>
      <c r="J17" s="375"/>
      <c r="K17" s="479"/>
      <c r="L17" s="479"/>
    </row>
    <row r="18" spans="1:18" x14ac:dyDescent="0.2">
      <c r="A18" s="284" t="s">
        <v>714</v>
      </c>
      <c r="B18" s="366"/>
      <c r="C18" s="461">
        <f t="shared" ref="C18:I18" si="9">SUM(C6:C17)</f>
        <v>8.3759999999999994</v>
      </c>
      <c r="D18" s="461">
        <f t="shared" si="9"/>
        <v>8.7933000000000003</v>
      </c>
      <c r="E18" s="461">
        <f t="shared" si="9"/>
        <v>9.231465</v>
      </c>
      <c r="F18" s="461">
        <f t="shared" si="9"/>
        <v>9.6915382500000025</v>
      </c>
      <c r="G18" s="461">
        <f t="shared" si="9"/>
        <v>10.174615162500002</v>
      </c>
      <c r="H18" s="461">
        <f t="shared" si="9"/>
        <v>10.681845920625005</v>
      </c>
      <c r="I18" s="461">
        <f t="shared" si="9"/>
        <v>11.214438216656253</v>
      </c>
      <c r="J18" s="376"/>
      <c r="K18" s="480"/>
      <c r="L18" s="480"/>
    </row>
    <row r="20" spans="1:18" x14ac:dyDescent="0.2">
      <c r="A20" s="717"/>
      <c r="B20" s="717"/>
      <c r="C20" s="717"/>
      <c r="D20" s="717"/>
      <c r="E20" s="717"/>
      <c r="F20" s="717"/>
      <c r="G20" s="717"/>
      <c r="H20" s="717"/>
      <c r="I20" s="717"/>
      <c r="J20" s="717"/>
      <c r="K20" s="717"/>
      <c r="L20" s="717"/>
      <c r="M20" s="717"/>
      <c r="N20" s="717"/>
      <c r="O20" s="717"/>
    </row>
    <row r="21" spans="1:18" ht="18" x14ac:dyDescent="0.2">
      <c r="A21" s="715" t="s">
        <v>504</v>
      </c>
      <c r="B21" s="715"/>
      <c r="C21" s="715"/>
      <c r="D21" s="715"/>
      <c r="E21" s="715"/>
      <c r="F21" s="715"/>
      <c r="G21" s="715"/>
      <c r="H21" s="715"/>
      <c r="I21" s="715"/>
      <c r="J21" s="715"/>
      <c r="K21" s="715"/>
      <c r="L21" s="715"/>
      <c r="M21" s="715"/>
      <c r="N21" s="715"/>
      <c r="O21" s="715"/>
      <c r="P21" s="715"/>
      <c r="Q21" s="715"/>
    </row>
    <row r="22" spans="1:18" s="13" customFormat="1" x14ac:dyDescent="0.2">
      <c r="A22" s="123"/>
      <c r="B22" s="123"/>
      <c r="C22" s="456"/>
      <c r="D22" s="456"/>
      <c r="E22" s="456"/>
      <c r="F22" s="456"/>
      <c r="G22" s="456"/>
      <c r="H22" s="456"/>
      <c r="I22" s="456"/>
      <c r="J22" s="123"/>
      <c r="K22" s="456"/>
      <c r="L22" s="456"/>
      <c r="M22" s="456"/>
      <c r="N22" s="456"/>
      <c r="O22" s="456"/>
      <c r="P22" s="481"/>
      <c r="Q22" s="481"/>
      <c r="R22" s="481"/>
    </row>
    <row r="23" spans="1:18" x14ac:dyDescent="0.2">
      <c r="A23" s="78"/>
      <c r="B23" s="78"/>
      <c r="C23" s="718" t="s">
        <v>185</v>
      </c>
      <c r="D23" s="718"/>
      <c r="E23" s="718"/>
      <c r="F23" s="718"/>
      <c r="G23" s="718"/>
      <c r="H23" s="718"/>
      <c r="I23" s="718"/>
      <c r="J23" s="78"/>
      <c r="K23" s="719" t="s">
        <v>186</v>
      </c>
      <c r="L23" s="719"/>
      <c r="M23" s="719"/>
      <c r="N23" s="719"/>
      <c r="O23" s="719"/>
      <c r="P23" s="719"/>
      <c r="Q23" s="719"/>
    </row>
    <row r="24" spans="1:18" x14ac:dyDescent="0.2">
      <c r="A24" s="135" t="s">
        <v>0</v>
      </c>
      <c r="B24" s="131"/>
      <c r="C24" s="457" t="s">
        <v>2</v>
      </c>
      <c r="D24" s="457" t="s">
        <v>3</v>
      </c>
      <c r="E24" s="457" t="s">
        <v>4</v>
      </c>
      <c r="F24" s="457" t="s">
        <v>5</v>
      </c>
      <c r="G24" s="457" t="s">
        <v>6</v>
      </c>
      <c r="H24" s="457" t="s">
        <v>163</v>
      </c>
      <c r="I24" s="457" t="s">
        <v>162</v>
      </c>
      <c r="J24" s="136"/>
      <c r="K24" s="457" t="s">
        <v>2</v>
      </c>
      <c r="L24" s="457" t="s">
        <v>3</v>
      </c>
      <c r="M24" s="457" t="s">
        <v>4</v>
      </c>
      <c r="N24" s="457" t="s">
        <v>5</v>
      </c>
      <c r="O24" s="457" t="s">
        <v>6</v>
      </c>
      <c r="P24" s="457" t="s">
        <v>163</v>
      </c>
      <c r="Q24" s="457" t="s">
        <v>162</v>
      </c>
    </row>
    <row r="25" spans="1:18" x14ac:dyDescent="0.2">
      <c r="A25" s="132" t="s">
        <v>187</v>
      </c>
      <c r="B25" s="83"/>
      <c r="C25" s="458"/>
      <c r="D25" s="458"/>
      <c r="E25" s="458"/>
      <c r="F25" s="458"/>
      <c r="G25" s="459"/>
      <c r="H25" s="459"/>
      <c r="I25" s="459"/>
      <c r="J25" s="83"/>
      <c r="K25" s="458"/>
      <c r="L25" s="458"/>
      <c r="M25" s="458"/>
      <c r="N25" s="458"/>
      <c r="O25" s="459"/>
      <c r="P25" s="459"/>
      <c r="Q25" s="459"/>
    </row>
    <row r="26" spans="1:18" x14ac:dyDescent="0.2">
      <c r="A26" s="132"/>
      <c r="B26" s="83"/>
      <c r="C26" s="458"/>
      <c r="D26" s="458"/>
      <c r="E26" s="458"/>
      <c r="F26" s="458"/>
      <c r="G26" s="459"/>
      <c r="H26" s="459"/>
      <c r="I26" s="459"/>
      <c r="J26" s="83"/>
      <c r="K26" s="458"/>
      <c r="L26" s="458"/>
      <c r="M26" s="458"/>
      <c r="N26" s="458"/>
      <c r="O26" s="459"/>
      <c r="P26" s="459"/>
      <c r="Q26" s="459"/>
    </row>
    <row r="27" spans="1:18" x14ac:dyDescent="0.2">
      <c r="A27" s="133"/>
      <c r="B27" s="133"/>
      <c r="C27" s="458"/>
      <c r="D27" s="458"/>
      <c r="E27" s="458"/>
      <c r="F27" s="458"/>
      <c r="G27" s="458"/>
      <c r="H27" s="458"/>
      <c r="I27" s="458"/>
      <c r="J27" s="83"/>
      <c r="K27" s="458"/>
      <c r="L27" s="458"/>
      <c r="M27" s="458"/>
      <c r="N27" s="458"/>
      <c r="O27" s="458"/>
      <c r="P27" s="458"/>
      <c r="Q27" s="458"/>
    </row>
    <row r="28" spans="1:18" x14ac:dyDescent="0.2">
      <c r="A28" s="134" t="s">
        <v>191</v>
      </c>
      <c r="B28" s="134"/>
      <c r="C28" s="458"/>
      <c r="D28" s="458"/>
      <c r="E28" s="458"/>
      <c r="F28" s="458"/>
      <c r="G28" s="458"/>
      <c r="H28" s="458"/>
      <c r="I28" s="458"/>
      <c r="J28" s="83"/>
      <c r="K28" s="458"/>
      <c r="L28" s="458"/>
      <c r="M28" s="458"/>
      <c r="N28" s="458"/>
      <c r="O28" s="458"/>
      <c r="P28" s="458"/>
      <c r="Q28" s="458"/>
    </row>
    <row r="29" spans="1:18" x14ac:dyDescent="0.2">
      <c r="A29" s="133" t="s">
        <v>188</v>
      </c>
      <c r="B29" s="133"/>
      <c r="C29" s="460">
        <f>'1.Project Cost and MOF'!D5</f>
        <v>109.31</v>
      </c>
      <c r="D29" s="460">
        <f t="shared" ref="D29:I29" si="10">C32</f>
        <v>105.84487300000001</v>
      </c>
      <c r="E29" s="460">
        <f t="shared" si="10"/>
        <v>102.37974600000001</v>
      </c>
      <c r="F29" s="460">
        <f t="shared" si="10"/>
        <v>98.914619000000016</v>
      </c>
      <c r="G29" s="460">
        <f t="shared" si="10"/>
        <v>95.449492000000021</v>
      </c>
      <c r="H29" s="460">
        <f t="shared" si="10"/>
        <v>91.984365000000025</v>
      </c>
      <c r="I29" s="460">
        <f t="shared" si="10"/>
        <v>88.51923800000003</v>
      </c>
      <c r="J29" s="83"/>
      <c r="K29" s="460">
        <f>C29</f>
        <v>109.31</v>
      </c>
      <c r="L29" s="460">
        <f t="shared" ref="L29:Q29" si="11">K32</f>
        <v>98.379000000000005</v>
      </c>
      <c r="M29" s="460">
        <f t="shared" si="11"/>
        <v>88.5411</v>
      </c>
      <c r="N29" s="460">
        <f t="shared" si="11"/>
        <v>79.686989999999994</v>
      </c>
      <c r="O29" s="460">
        <f t="shared" si="11"/>
        <v>71.718290999999994</v>
      </c>
      <c r="P29" s="460">
        <f t="shared" si="11"/>
        <v>64.546461899999997</v>
      </c>
      <c r="Q29" s="460">
        <f t="shared" si="11"/>
        <v>58.091815709999999</v>
      </c>
    </row>
    <row r="30" spans="1:18" x14ac:dyDescent="0.2">
      <c r="A30" s="133" t="s">
        <v>16</v>
      </c>
      <c r="B30" s="133"/>
      <c r="C30" s="460">
        <f t="shared" ref="C30:I30" si="12">$C$29*$B$66</f>
        <v>3.4651269999999998</v>
      </c>
      <c r="D30" s="460">
        <f t="shared" si="12"/>
        <v>3.4651269999999998</v>
      </c>
      <c r="E30" s="460">
        <f t="shared" si="12"/>
        <v>3.4651269999999998</v>
      </c>
      <c r="F30" s="460">
        <f t="shared" si="12"/>
        <v>3.4651269999999998</v>
      </c>
      <c r="G30" s="460">
        <f t="shared" si="12"/>
        <v>3.4651269999999998</v>
      </c>
      <c r="H30" s="460">
        <f t="shared" si="12"/>
        <v>3.4651269999999998</v>
      </c>
      <c r="I30" s="460">
        <f t="shared" si="12"/>
        <v>3.4651269999999998</v>
      </c>
      <c r="J30" s="83"/>
      <c r="K30" s="460">
        <f t="shared" ref="K30:Q30" si="13">K29*$C$66</f>
        <v>10.931000000000001</v>
      </c>
      <c r="L30" s="460">
        <f t="shared" si="13"/>
        <v>9.8379000000000012</v>
      </c>
      <c r="M30" s="460">
        <f t="shared" si="13"/>
        <v>8.8541100000000004</v>
      </c>
      <c r="N30" s="460">
        <f t="shared" si="13"/>
        <v>7.968699</v>
      </c>
      <c r="O30" s="460">
        <f t="shared" si="13"/>
        <v>7.1718291000000001</v>
      </c>
      <c r="P30" s="460">
        <f t="shared" si="13"/>
        <v>6.4546461900000001</v>
      </c>
      <c r="Q30" s="460">
        <f t="shared" si="13"/>
        <v>5.8091815709999999</v>
      </c>
    </row>
    <row r="31" spans="1:18" x14ac:dyDescent="0.2">
      <c r="A31" s="133" t="s">
        <v>189</v>
      </c>
      <c r="B31" s="133"/>
      <c r="C31" s="460">
        <f>C30</f>
        <v>3.4651269999999998</v>
      </c>
      <c r="D31" s="460">
        <f t="shared" ref="D31:I31" si="14">C31+D30</f>
        <v>6.9302539999999997</v>
      </c>
      <c r="E31" s="460">
        <f t="shared" si="14"/>
        <v>10.395381</v>
      </c>
      <c r="F31" s="460">
        <f t="shared" si="14"/>
        <v>13.860507999999999</v>
      </c>
      <c r="G31" s="460">
        <f t="shared" si="14"/>
        <v>17.325634999999998</v>
      </c>
      <c r="H31" s="460">
        <f t="shared" si="14"/>
        <v>20.790761999999997</v>
      </c>
      <c r="I31" s="460">
        <f t="shared" si="14"/>
        <v>24.255888999999996</v>
      </c>
      <c r="J31" s="83"/>
      <c r="K31" s="460">
        <f>K30</f>
        <v>10.931000000000001</v>
      </c>
      <c r="L31" s="460">
        <f t="shared" ref="L31:Q31" si="15">K31+L30</f>
        <v>20.768900000000002</v>
      </c>
      <c r="M31" s="460">
        <f t="shared" si="15"/>
        <v>29.623010000000001</v>
      </c>
      <c r="N31" s="460">
        <f t="shared" si="15"/>
        <v>37.591709000000002</v>
      </c>
      <c r="O31" s="460">
        <f t="shared" si="15"/>
        <v>44.763538100000005</v>
      </c>
      <c r="P31" s="460">
        <f t="shared" si="15"/>
        <v>51.218184290000004</v>
      </c>
      <c r="Q31" s="460">
        <f t="shared" si="15"/>
        <v>57.027365861000007</v>
      </c>
    </row>
    <row r="32" spans="1:18" x14ac:dyDescent="0.2">
      <c r="A32" s="133" t="s">
        <v>190</v>
      </c>
      <c r="B32" s="133"/>
      <c r="C32" s="460">
        <f t="shared" ref="C32:I32" si="16">C29-C30</f>
        <v>105.84487300000001</v>
      </c>
      <c r="D32" s="460">
        <f t="shared" si="16"/>
        <v>102.37974600000001</v>
      </c>
      <c r="E32" s="460">
        <f t="shared" si="16"/>
        <v>98.914619000000016</v>
      </c>
      <c r="F32" s="460">
        <f t="shared" si="16"/>
        <v>95.449492000000021</v>
      </c>
      <c r="G32" s="460">
        <f t="shared" si="16"/>
        <v>91.984365000000025</v>
      </c>
      <c r="H32" s="460">
        <f t="shared" si="16"/>
        <v>88.51923800000003</v>
      </c>
      <c r="I32" s="460">
        <f t="shared" si="16"/>
        <v>85.054111000000034</v>
      </c>
      <c r="J32" s="83"/>
      <c r="K32" s="460">
        <f t="shared" ref="K32:Q32" si="17">K29-K30</f>
        <v>98.379000000000005</v>
      </c>
      <c r="L32" s="460">
        <f t="shared" si="17"/>
        <v>88.5411</v>
      </c>
      <c r="M32" s="460">
        <f t="shared" si="17"/>
        <v>79.686989999999994</v>
      </c>
      <c r="N32" s="460">
        <f t="shared" si="17"/>
        <v>71.718290999999994</v>
      </c>
      <c r="O32" s="460">
        <f t="shared" si="17"/>
        <v>64.546461899999997</v>
      </c>
      <c r="P32" s="460">
        <f t="shared" si="17"/>
        <v>58.091815709999999</v>
      </c>
      <c r="Q32" s="460">
        <f t="shared" si="17"/>
        <v>52.282634138999995</v>
      </c>
    </row>
    <row r="33" spans="1:17" x14ac:dyDescent="0.2">
      <c r="A33" s="133"/>
      <c r="B33" s="133"/>
      <c r="C33" s="460"/>
      <c r="D33" s="460"/>
      <c r="E33" s="460"/>
      <c r="F33" s="460"/>
      <c r="G33" s="460"/>
      <c r="H33" s="460"/>
      <c r="I33" s="460"/>
      <c r="J33" s="83"/>
      <c r="K33" s="460"/>
      <c r="L33" s="460"/>
      <c r="M33" s="460"/>
      <c r="N33" s="460"/>
      <c r="O33" s="460"/>
      <c r="P33" s="460"/>
      <c r="Q33" s="460"/>
    </row>
    <row r="34" spans="1:17" x14ac:dyDescent="0.2">
      <c r="A34" s="134" t="s">
        <v>192</v>
      </c>
      <c r="B34" s="134"/>
      <c r="C34" s="460"/>
      <c r="D34" s="460"/>
      <c r="E34" s="460"/>
      <c r="F34" s="460"/>
      <c r="G34" s="460"/>
      <c r="H34" s="460"/>
      <c r="I34" s="460"/>
      <c r="J34" s="83"/>
      <c r="K34" s="460"/>
      <c r="L34" s="460"/>
      <c r="M34" s="460"/>
      <c r="N34" s="460"/>
      <c r="O34" s="460"/>
      <c r="P34" s="460"/>
      <c r="Q34" s="460"/>
    </row>
    <row r="35" spans="1:17" x14ac:dyDescent="0.2">
      <c r="A35" s="133" t="s">
        <v>188</v>
      </c>
      <c r="B35" s="133"/>
      <c r="C35" s="460">
        <f>'1.Project Cost and MOF'!D6</f>
        <v>32.088100000000004</v>
      </c>
      <c r="D35" s="460">
        <f t="shared" ref="D35:I35" si="18">C38</f>
        <v>30.056923270000006</v>
      </c>
      <c r="E35" s="460">
        <f t="shared" si="18"/>
        <v>28.025746540000007</v>
      </c>
      <c r="F35" s="460">
        <f t="shared" si="18"/>
        <v>25.994569810000009</v>
      </c>
      <c r="G35" s="460">
        <f t="shared" si="18"/>
        <v>23.96339308000001</v>
      </c>
      <c r="H35" s="460">
        <f t="shared" si="18"/>
        <v>21.932216350000012</v>
      </c>
      <c r="I35" s="460">
        <f t="shared" si="18"/>
        <v>19.901039620000013</v>
      </c>
      <c r="J35" s="83"/>
      <c r="K35" s="460">
        <f>C35</f>
        <v>32.088100000000004</v>
      </c>
      <c r="L35" s="460">
        <f t="shared" ref="L35:Q35" si="19">K38</f>
        <v>27.274885000000005</v>
      </c>
      <c r="M35" s="460">
        <f t="shared" si="19"/>
        <v>23.183652250000005</v>
      </c>
      <c r="N35" s="460">
        <f t="shared" si="19"/>
        <v>19.706104412500004</v>
      </c>
      <c r="O35" s="460">
        <f t="shared" si="19"/>
        <v>16.750188750625004</v>
      </c>
      <c r="P35" s="460">
        <f t="shared" si="19"/>
        <v>14.237660438031252</v>
      </c>
      <c r="Q35" s="460">
        <f t="shared" si="19"/>
        <v>12.102011372326565</v>
      </c>
    </row>
    <row r="36" spans="1:17" x14ac:dyDescent="0.2">
      <c r="A36" s="133" t="s">
        <v>16</v>
      </c>
      <c r="B36" s="133"/>
      <c r="C36" s="460">
        <f t="shared" ref="C36:I36" si="20">$C$35*$B$70</f>
        <v>2.0311767300000003</v>
      </c>
      <c r="D36" s="460">
        <f t="shared" si="20"/>
        <v>2.0311767300000003</v>
      </c>
      <c r="E36" s="460">
        <f t="shared" si="20"/>
        <v>2.0311767300000003</v>
      </c>
      <c r="F36" s="460">
        <f t="shared" si="20"/>
        <v>2.0311767300000003</v>
      </c>
      <c r="G36" s="460">
        <f t="shared" si="20"/>
        <v>2.0311767300000003</v>
      </c>
      <c r="H36" s="460">
        <f t="shared" si="20"/>
        <v>2.0311767300000003</v>
      </c>
      <c r="I36" s="460">
        <f t="shared" si="20"/>
        <v>2.0311767300000003</v>
      </c>
      <c r="J36" s="83"/>
      <c r="K36" s="460">
        <f t="shared" ref="K36:Q36" si="21">K35*$C$70</f>
        <v>4.8132150000000005</v>
      </c>
      <c r="L36" s="460">
        <f t="shared" si="21"/>
        <v>4.0912327500000005</v>
      </c>
      <c r="M36" s="460">
        <f t="shared" si="21"/>
        <v>3.4775478375000008</v>
      </c>
      <c r="N36" s="460">
        <f t="shared" si="21"/>
        <v>2.9559156618750007</v>
      </c>
      <c r="O36" s="460">
        <f t="shared" si="21"/>
        <v>2.5125283125937505</v>
      </c>
      <c r="P36" s="460">
        <f t="shared" si="21"/>
        <v>2.1356490657046878</v>
      </c>
      <c r="Q36" s="460">
        <f t="shared" si="21"/>
        <v>1.8153017058489846</v>
      </c>
    </row>
    <row r="37" spans="1:17" x14ac:dyDescent="0.2">
      <c r="A37" s="133" t="s">
        <v>189</v>
      </c>
      <c r="B37" s="133"/>
      <c r="C37" s="460">
        <f>C36</f>
        <v>2.0311767300000003</v>
      </c>
      <c r="D37" s="460">
        <f t="shared" ref="D37:I37" si="22">C37+D36</f>
        <v>4.0623534600000006</v>
      </c>
      <c r="E37" s="460">
        <f t="shared" si="22"/>
        <v>6.093530190000001</v>
      </c>
      <c r="F37" s="460">
        <f t="shared" si="22"/>
        <v>8.1247069200000013</v>
      </c>
      <c r="G37" s="460">
        <f t="shared" si="22"/>
        <v>10.155883650000002</v>
      </c>
      <c r="H37" s="460">
        <f t="shared" si="22"/>
        <v>12.187060380000002</v>
      </c>
      <c r="I37" s="460">
        <f t="shared" si="22"/>
        <v>14.218237110000002</v>
      </c>
      <c r="J37" s="83"/>
      <c r="K37" s="460">
        <f>K36</f>
        <v>4.8132150000000005</v>
      </c>
      <c r="L37" s="460">
        <f t="shared" ref="L37:Q37" si="23">K37+L36</f>
        <v>8.904447750000001</v>
      </c>
      <c r="M37" s="460">
        <f t="shared" si="23"/>
        <v>12.381995587500002</v>
      </c>
      <c r="N37" s="460">
        <f t="shared" si="23"/>
        <v>15.337911249375002</v>
      </c>
      <c r="O37" s="460">
        <f t="shared" si="23"/>
        <v>17.850439561968752</v>
      </c>
      <c r="P37" s="460">
        <f t="shared" si="23"/>
        <v>19.986088627673439</v>
      </c>
      <c r="Q37" s="460">
        <f t="shared" si="23"/>
        <v>21.801390333522424</v>
      </c>
    </row>
    <row r="38" spans="1:17" x14ac:dyDescent="0.2">
      <c r="A38" s="133" t="s">
        <v>190</v>
      </c>
      <c r="B38" s="133"/>
      <c r="C38" s="460">
        <f t="shared" ref="C38:I38" si="24">C35-C36</f>
        <v>30.056923270000006</v>
      </c>
      <c r="D38" s="460">
        <f t="shared" si="24"/>
        <v>28.025746540000007</v>
      </c>
      <c r="E38" s="460">
        <f t="shared" si="24"/>
        <v>25.994569810000009</v>
      </c>
      <c r="F38" s="460">
        <f t="shared" si="24"/>
        <v>23.96339308000001</v>
      </c>
      <c r="G38" s="460">
        <f t="shared" si="24"/>
        <v>21.932216350000012</v>
      </c>
      <c r="H38" s="460">
        <f t="shared" si="24"/>
        <v>19.901039620000013</v>
      </c>
      <c r="I38" s="460">
        <f t="shared" si="24"/>
        <v>17.869862890000014</v>
      </c>
      <c r="J38" s="83"/>
      <c r="K38" s="460">
        <f t="shared" ref="K38:Q38" si="25">K35-K36</f>
        <v>27.274885000000005</v>
      </c>
      <c r="L38" s="460">
        <f t="shared" si="25"/>
        <v>23.183652250000005</v>
      </c>
      <c r="M38" s="460">
        <f t="shared" si="25"/>
        <v>19.706104412500004</v>
      </c>
      <c r="N38" s="460">
        <f t="shared" si="25"/>
        <v>16.750188750625004</v>
      </c>
      <c r="O38" s="460">
        <f t="shared" si="25"/>
        <v>14.237660438031252</v>
      </c>
      <c r="P38" s="460">
        <f t="shared" si="25"/>
        <v>12.102011372326565</v>
      </c>
      <c r="Q38" s="460">
        <f t="shared" si="25"/>
        <v>10.286709666477581</v>
      </c>
    </row>
    <row r="39" spans="1:17" x14ac:dyDescent="0.2">
      <c r="A39" s="133"/>
      <c r="B39" s="133"/>
      <c r="C39" s="460"/>
      <c r="D39" s="460"/>
      <c r="E39" s="460"/>
      <c r="F39" s="460"/>
      <c r="G39" s="460"/>
      <c r="H39" s="460"/>
      <c r="I39" s="460"/>
      <c r="J39" s="83"/>
      <c r="K39" s="460"/>
      <c r="L39" s="460"/>
      <c r="M39" s="460"/>
      <c r="N39" s="460"/>
      <c r="O39" s="460"/>
      <c r="P39" s="460"/>
      <c r="Q39" s="460"/>
    </row>
    <row r="40" spans="1:17" hidden="1" x14ac:dyDescent="0.2">
      <c r="A40" s="134" t="s">
        <v>193</v>
      </c>
      <c r="B40" s="134"/>
      <c r="C40" s="460"/>
      <c r="D40" s="460"/>
      <c r="E40" s="460"/>
      <c r="F40" s="460"/>
      <c r="G40" s="460"/>
      <c r="H40" s="460"/>
      <c r="I40" s="460"/>
      <c r="J40" s="83"/>
      <c r="K40" s="460"/>
      <c r="L40" s="460"/>
      <c r="M40" s="460"/>
      <c r="N40" s="460"/>
      <c r="O40" s="460"/>
      <c r="P40" s="460"/>
      <c r="Q40" s="460"/>
    </row>
    <row r="41" spans="1:17" hidden="1" x14ac:dyDescent="0.2">
      <c r="A41" s="133" t="s">
        <v>188</v>
      </c>
      <c r="B41" s="133"/>
      <c r="C41" s="460">
        <f>'1.Project Cost and MOF'!D7</f>
        <v>0</v>
      </c>
      <c r="D41" s="460">
        <f t="shared" ref="D41:I41" si="26">C44</f>
        <v>0</v>
      </c>
      <c r="E41" s="460">
        <f t="shared" si="26"/>
        <v>0</v>
      </c>
      <c r="F41" s="460">
        <f t="shared" si="26"/>
        <v>0</v>
      </c>
      <c r="G41" s="460">
        <f t="shared" si="26"/>
        <v>0</v>
      </c>
      <c r="H41" s="460">
        <f t="shared" si="26"/>
        <v>0</v>
      </c>
      <c r="I41" s="460">
        <f t="shared" si="26"/>
        <v>0</v>
      </c>
      <c r="J41" s="83"/>
      <c r="K41" s="460">
        <f>C41</f>
        <v>0</v>
      </c>
      <c r="L41" s="460">
        <f t="shared" ref="L41:Q41" si="27">K44</f>
        <v>0</v>
      </c>
      <c r="M41" s="460">
        <f t="shared" si="27"/>
        <v>0</v>
      </c>
      <c r="N41" s="460">
        <f t="shared" si="27"/>
        <v>0</v>
      </c>
      <c r="O41" s="460">
        <f t="shared" si="27"/>
        <v>0</v>
      </c>
      <c r="P41" s="460">
        <f t="shared" si="27"/>
        <v>0</v>
      </c>
      <c r="Q41" s="460">
        <f t="shared" si="27"/>
        <v>0</v>
      </c>
    </row>
    <row r="42" spans="1:17" hidden="1" x14ac:dyDescent="0.2">
      <c r="A42" s="133" t="s">
        <v>16</v>
      </c>
      <c r="B42" s="133"/>
      <c r="C42" s="460">
        <f t="shared" ref="C42:I42" si="28">$C$41*$B$67</f>
        <v>0</v>
      </c>
      <c r="D42" s="460">
        <f t="shared" si="28"/>
        <v>0</v>
      </c>
      <c r="E42" s="460">
        <f t="shared" si="28"/>
        <v>0</v>
      </c>
      <c r="F42" s="460">
        <f t="shared" si="28"/>
        <v>0</v>
      </c>
      <c r="G42" s="460">
        <f t="shared" si="28"/>
        <v>0</v>
      </c>
      <c r="H42" s="460">
        <f t="shared" si="28"/>
        <v>0</v>
      </c>
      <c r="I42" s="460">
        <f t="shared" si="28"/>
        <v>0</v>
      </c>
      <c r="J42" s="83"/>
      <c r="K42" s="460">
        <f t="shared" ref="K42:Q42" si="29">K41*$C$67</f>
        <v>0</v>
      </c>
      <c r="L42" s="460">
        <f t="shared" si="29"/>
        <v>0</v>
      </c>
      <c r="M42" s="460">
        <f t="shared" si="29"/>
        <v>0</v>
      </c>
      <c r="N42" s="460">
        <f t="shared" si="29"/>
        <v>0</v>
      </c>
      <c r="O42" s="460">
        <f t="shared" si="29"/>
        <v>0</v>
      </c>
      <c r="P42" s="460">
        <f t="shared" si="29"/>
        <v>0</v>
      </c>
      <c r="Q42" s="460">
        <f t="shared" si="29"/>
        <v>0</v>
      </c>
    </row>
    <row r="43" spans="1:17" hidden="1" x14ac:dyDescent="0.2">
      <c r="A43" s="133" t="s">
        <v>189</v>
      </c>
      <c r="B43" s="133"/>
      <c r="C43" s="460">
        <f>C42</f>
        <v>0</v>
      </c>
      <c r="D43" s="460">
        <f t="shared" ref="D43:I43" si="30">C43+D42</f>
        <v>0</v>
      </c>
      <c r="E43" s="460">
        <f t="shared" si="30"/>
        <v>0</v>
      </c>
      <c r="F43" s="460">
        <f t="shared" si="30"/>
        <v>0</v>
      </c>
      <c r="G43" s="460">
        <f t="shared" si="30"/>
        <v>0</v>
      </c>
      <c r="H43" s="460">
        <f t="shared" si="30"/>
        <v>0</v>
      </c>
      <c r="I43" s="460">
        <f t="shared" si="30"/>
        <v>0</v>
      </c>
      <c r="J43" s="83"/>
      <c r="K43" s="460">
        <f>K42</f>
        <v>0</v>
      </c>
      <c r="L43" s="460">
        <f t="shared" ref="L43:Q43" si="31">K43+L42</f>
        <v>0</v>
      </c>
      <c r="M43" s="460">
        <f t="shared" si="31"/>
        <v>0</v>
      </c>
      <c r="N43" s="460">
        <f t="shared" si="31"/>
        <v>0</v>
      </c>
      <c r="O43" s="460">
        <f t="shared" si="31"/>
        <v>0</v>
      </c>
      <c r="P43" s="460">
        <f t="shared" si="31"/>
        <v>0</v>
      </c>
      <c r="Q43" s="460">
        <f t="shared" si="31"/>
        <v>0</v>
      </c>
    </row>
    <row r="44" spans="1:17" hidden="1" x14ac:dyDescent="0.2">
      <c r="A44" s="133" t="s">
        <v>190</v>
      </c>
      <c r="B44" s="133"/>
      <c r="C44" s="460">
        <f t="shared" ref="C44:I44" si="32">C41-C42</f>
        <v>0</v>
      </c>
      <c r="D44" s="460">
        <f t="shared" si="32"/>
        <v>0</v>
      </c>
      <c r="E44" s="460">
        <f t="shared" si="32"/>
        <v>0</v>
      </c>
      <c r="F44" s="460">
        <f t="shared" si="32"/>
        <v>0</v>
      </c>
      <c r="G44" s="460">
        <f t="shared" si="32"/>
        <v>0</v>
      </c>
      <c r="H44" s="460">
        <f t="shared" si="32"/>
        <v>0</v>
      </c>
      <c r="I44" s="460">
        <f t="shared" si="32"/>
        <v>0</v>
      </c>
      <c r="J44" s="83"/>
      <c r="K44" s="460">
        <f t="shared" ref="K44:Q44" si="33">K41-K42</f>
        <v>0</v>
      </c>
      <c r="L44" s="460">
        <f t="shared" si="33"/>
        <v>0</v>
      </c>
      <c r="M44" s="460">
        <f t="shared" si="33"/>
        <v>0</v>
      </c>
      <c r="N44" s="460">
        <f t="shared" si="33"/>
        <v>0</v>
      </c>
      <c r="O44" s="460">
        <f t="shared" si="33"/>
        <v>0</v>
      </c>
      <c r="P44" s="460">
        <f t="shared" si="33"/>
        <v>0</v>
      </c>
      <c r="Q44" s="460">
        <f t="shared" si="33"/>
        <v>0</v>
      </c>
    </row>
    <row r="45" spans="1:17" hidden="1" x14ac:dyDescent="0.2">
      <c r="A45" s="133"/>
      <c r="B45" s="133"/>
      <c r="C45" s="460"/>
      <c r="D45" s="460"/>
      <c r="E45" s="460"/>
      <c r="F45" s="460"/>
      <c r="G45" s="460"/>
      <c r="H45" s="460"/>
      <c r="I45" s="460"/>
      <c r="J45" s="83"/>
      <c r="K45" s="460"/>
      <c r="L45" s="460"/>
      <c r="M45" s="460"/>
      <c r="N45" s="460"/>
      <c r="O45" s="460"/>
      <c r="P45" s="460"/>
      <c r="Q45" s="460"/>
    </row>
    <row r="46" spans="1:17" hidden="1" x14ac:dyDescent="0.2">
      <c r="A46" s="134" t="s">
        <v>155</v>
      </c>
      <c r="B46" s="134"/>
      <c r="C46" s="460"/>
      <c r="D46" s="460"/>
      <c r="E46" s="460"/>
      <c r="F46" s="460"/>
      <c r="G46" s="460"/>
      <c r="H46" s="460"/>
      <c r="I46" s="460"/>
      <c r="J46" s="83"/>
      <c r="K46" s="460"/>
      <c r="L46" s="460"/>
      <c r="M46" s="460"/>
      <c r="N46" s="460"/>
      <c r="O46" s="460"/>
      <c r="P46" s="460"/>
      <c r="Q46" s="460"/>
    </row>
    <row r="47" spans="1:17" hidden="1" x14ac:dyDescent="0.2">
      <c r="A47" s="133" t="s">
        <v>188</v>
      </c>
      <c r="B47" s="133"/>
      <c r="C47" s="460">
        <f>'1.Project Cost and MOF'!D9</f>
        <v>0</v>
      </c>
      <c r="D47" s="460">
        <f t="shared" ref="D47:I47" si="34">C50</f>
        <v>0</v>
      </c>
      <c r="E47" s="460">
        <f t="shared" si="34"/>
        <v>0</v>
      </c>
      <c r="F47" s="460">
        <f t="shared" si="34"/>
        <v>0</v>
      </c>
      <c r="G47" s="460">
        <f t="shared" si="34"/>
        <v>0</v>
      </c>
      <c r="H47" s="460">
        <f t="shared" si="34"/>
        <v>0</v>
      </c>
      <c r="I47" s="460">
        <f t="shared" si="34"/>
        <v>0</v>
      </c>
      <c r="J47" s="83"/>
      <c r="K47" s="460">
        <f>C47</f>
        <v>0</v>
      </c>
      <c r="L47" s="460">
        <f t="shared" ref="L47:Q47" si="35">K50</f>
        <v>0</v>
      </c>
      <c r="M47" s="460">
        <f t="shared" si="35"/>
        <v>0</v>
      </c>
      <c r="N47" s="460">
        <f t="shared" si="35"/>
        <v>0</v>
      </c>
      <c r="O47" s="460">
        <f t="shared" si="35"/>
        <v>0</v>
      </c>
      <c r="P47" s="460">
        <f t="shared" si="35"/>
        <v>0</v>
      </c>
      <c r="Q47" s="460">
        <f t="shared" si="35"/>
        <v>0</v>
      </c>
    </row>
    <row r="48" spans="1:17" hidden="1" x14ac:dyDescent="0.2">
      <c r="A48" s="133" t="s">
        <v>16</v>
      </c>
      <c r="B48" s="133"/>
      <c r="C48" s="460">
        <f t="shared" ref="C48:I48" si="36">$C$47*$B$69</f>
        <v>0</v>
      </c>
      <c r="D48" s="460">
        <f t="shared" si="36"/>
        <v>0</v>
      </c>
      <c r="E48" s="460">
        <f t="shared" si="36"/>
        <v>0</v>
      </c>
      <c r="F48" s="460">
        <f t="shared" si="36"/>
        <v>0</v>
      </c>
      <c r="G48" s="460">
        <f t="shared" si="36"/>
        <v>0</v>
      </c>
      <c r="H48" s="460">
        <f t="shared" si="36"/>
        <v>0</v>
      </c>
      <c r="I48" s="460">
        <f t="shared" si="36"/>
        <v>0</v>
      </c>
      <c r="J48" s="83"/>
      <c r="K48" s="460">
        <f t="shared" ref="K48:Q48" si="37">K47*$C$69</f>
        <v>0</v>
      </c>
      <c r="L48" s="460">
        <f t="shared" si="37"/>
        <v>0</v>
      </c>
      <c r="M48" s="460">
        <f t="shared" si="37"/>
        <v>0</v>
      </c>
      <c r="N48" s="460">
        <f t="shared" si="37"/>
        <v>0</v>
      </c>
      <c r="O48" s="460">
        <f t="shared" si="37"/>
        <v>0</v>
      </c>
      <c r="P48" s="460">
        <f t="shared" si="37"/>
        <v>0</v>
      </c>
      <c r="Q48" s="460">
        <f t="shared" si="37"/>
        <v>0</v>
      </c>
    </row>
    <row r="49" spans="1:17" hidden="1" x14ac:dyDescent="0.2">
      <c r="A49" s="133" t="s">
        <v>189</v>
      </c>
      <c r="B49" s="133"/>
      <c r="C49" s="460">
        <f>C48</f>
        <v>0</v>
      </c>
      <c r="D49" s="460">
        <f t="shared" ref="D49:I49" si="38">C49+D48</f>
        <v>0</v>
      </c>
      <c r="E49" s="460">
        <f t="shared" si="38"/>
        <v>0</v>
      </c>
      <c r="F49" s="460">
        <f t="shared" si="38"/>
        <v>0</v>
      </c>
      <c r="G49" s="460">
        <f t="shared" si="38"/>
        <v>0</v>
      </c>
      <c r="H49" s="460">
        <f t="shared" si="38"/>
        <v>0</v>
      </c>
      <c r="I49" s="460">
        <f t="shared" si="38"/>
        <v>0</v>
      </c>
      <c r="J49" s="83"/>
      <c r="K49" s="460">
        <f>K48</f>
        <v>0</v>
      </c>
      <c r="L49" s="460">
        <f t="shared" ref="L49:Q49" si="39">K49+L48</f>
        <v>0</v>
      </c>
      <c r="M49" s="460">
        <f t="shared" si="39"/>
        <v>0</v>
      </c>
      <c r="N49" s="460">
        <f t="shared" si="39"/>
        <v>0</v>
      </c>
      <c r="O49" s="460">
        <f t="shared" si="39"/>
        <v>0</v>
      </c>
      <c r="P49" s="460">
        <f t="shared" si="39"/>
        <v>0</v>
      </c>
      <c r="Q49" s="460">
        <f t="shared" si="39"/>
        <v>0</v>
      </c>
    </row>
    <row r="50" spans="1:17" hidden="1" x14ac:dyDescent="0.2">
      <c r="A50" s="133" t="s">
        <v>190</v>
      </c>
      <c r="B50" s="133"/>
      <c r="C50" s="460">
        <f t="shared" ref="C50:I50" si="40">C47-C48</f>
        <v>0</v>
      </c>
      <c r="D50" s="460">
        <f t="shared" si="40"/>
        <v>0</v>
      </c>
      <c r="E50" s="460">
        <f t="shared" si="40"/>
        <v>0</v>
      </c>
      <c r="F50" s="460">
        <f t="shared" si="40"/>
        <v>0</v>
      </c>
      <c r="G50" s="460">
        <f t="shared" si="40"/>
        <v>0</v>
      </c>
      <c r="H50" s="460">
        <f t="shared" si="40"/>
        <v>0</v>
      </c>
      <c r="I50" s="460">
        <f t="shared" si="40"/>
        <v>0</v>
      </c>
      <c r="J50" s="83"/>
      <c r="K50" s="460">
        <f t="shared" ref="K50:Q50" si="41">K47-K48</f>
        <v>0</v>
      </c>
      <c r="L50" s="460">
        <f t="shared" si="41"/>
        <v>0</v>
      </c>
      <c r="M50" s="460">
        <f t="shared" si="41"/>
        <v>0</v>
      </c>
      <c r="N50" s="460">
        <f t="shared" si="41"/>
        <v>0</v>
      </c>
      <c r="O50" s="460">
        <f t="shared" si="41"/>
        <v>0</v>
      </c>
      <c r="P50" s="460">
        <f t="shared" si="41"/>
        <v>0</v>
      </c>
      <c r="Q50" s="460">
        <f t="shared" si="41"/>
        <v>0</v>
      </c>
    </row>
    <row r="51" spans="1:17" hidden="1" x14ac:dyDescent="0.2">
      <c r="A51" s="133"/>
      <c r="B51" s="133"/>
      <c r="C51" s="460"/>
      <c r="D51" s="460"/>
      <c r="E51" s="460"/>
      <c r="F51" s="460"/>
      <c r="G51" s="460"/>
      <c r="H51" s="460"/>
      <c r="I51" s="460"/>
      <c r="J51" s="83"/>
      <c r="K51" s="460"/>
      <c r="L51" s="460"/>
      <c r="M51" s="460"/>
      <c r="N51" s="460"/>
      <c r="O51" s="460"/>
      <c r="P51" s="460"/>
      <c r="Q51" s="460"/>
    </row>
    <row r="52" spans="1:17" hidden="1" x14ac:dyDescent="0.2">
      <c r="A52" s="284" t="s">
        <v>317</v>
      </c>
      <c r="B52" s="133"/>
      <c r="C52" s="460"/>
      <c r="D52" s="460"/>
      <c r="E52" s="460"/>
      <c r="F52" s="460"/>
      <c r="G52" s="460"/>
      <c r="H52" s="460"/>
      <c r="I52" s="460"/>
      <c r="J52" s="83"/>
      <c r="K52" s="460"/>
      <c r="L52" s="460"/>
      <c r="M52" s="460"/>
      <c r="N52" s="460"/>
      <c r="O52" s="460"/>
      <c r="P52" s="460"/>
      <c r="Q52" s="460"/>
    </row>
    <row r="53" spans="1:17" hidden="1" x14ac:dyDescent="0.2">
      <c r="A53" s="133" t="str">
        <f>A47</f>
        <v>Asset Value</v>
      </c>
      <c r="B53" s="133"/>
      <c r="C53" s="460">
        <f>'1.Project Cost and MOF'!D8</f>
        <v>0</v>
      </c>
      <c r="D53" s="460">
        <f t="shared" ref="D53:I53" si="42">C56</f>
        <v>0</v>
      </c>
      <c r="E53" s="460">
        <f t="shared" si="42"/>
        <v>0</v>
      </c>
      <c r="F53" s="460">
        <f t="shared" si="42"/>
        <v>0</v>
      </c>
      <c r="G53" s="460">
        <f t="shared" si="42"/>
        <v>0</v>
      </c>
      <c r="H53" s="460">
        <f t="shared" si="42"/>
        <v>0</v>
      </c>
      <c r="I53" s="460">
        <f t="shared" si="42"/>
        <v>0</v>
      </c>
      <c r="J53" s="83"/>
      <c r="K53" s="460">
        <f>C53</f>
        <v>0</v>
      </c>
      <c r="L53" s="460">
        <f t="shared" ref="L53:Q53" si="43">K56</f>
        <v>0</v>
      </c>
      <c r="M53" s="460">
        <f t="shared" si="43"/>
        <v>0</v>
      </c>
      <c r="N53" s="460">
        <f t="shared" si="43"/>
        <v>0</v>
      </c>
      <c r="O53" s="460">
        <f t="shared" si="43"/>
        <v>0</v>
      </c>
      <c r="P53" s="460">
        <f t="shared" si="43"/>
        <v>0</v>
      </c>
      <c r="Q53" s="460">
        <f t="shared" si="43"/>
        <v>0</v>
      </c>
    </row>
    <row r="54" spans="1:17" hidden="1" x14ac:dyDescent="0.2">
      <c r="A54" s="133" t="str">
        <f>A48</f>
        <v>Depreciation</v>
      </c>
      <c r="B54" s="133"/>
      <c r="C54" s="460">
        <f t="shared" ref="C54:I54" si="44">$C$53*$B$68</f>
        <v>0</v>
      </c>
      <c r="D54" s="460">
        <f t="shared" si="44"/>
        <v>0</v>
      </c>
      <c r="E54" s="460">
        <f t="shared" si="44"/>
        <v>0</v>
      </c>
      <c r="F54" s="460">
        <f t="shared" si="44"/>
        <v>0</v>
      </c>
      <c r="G54" s="460">
        <f t="shared" si="44"/>
        <v>0</v>
      </c>
      <c r="H54" s="460">
        <f t="shared" si="44"/>
        <v>0</v>
      </c>
      <c r="I54" s="460">
        <f t="shared" si="44"/>
        <v>0</v>
      </c>
      <c r="J54" s="83"/>
      <c r="K54" s="460">
        <f t="shared" ref="K54:Q54" si="45">K53*$C$68</f>
        <v>0</v>
      </c>
      <c r="L54" s="460">
        <f t="shared" si="45"/>
        <v>0</v>
      </c>
      <c r="M54" s="460">
        <f t="shared" si="45"/>
        <v>0</v>
      </c>
      <c r="N54" s="460">
        <f t="shared" si="45"/>
        <v>0</v>
      </c>
      <c r="O54" s="460">
        <f t="shared" si="45"/>
        <v>0</v>
      </c>
      <c r="P54" s="460">
        <f t="shared" si="45"/>
        <v>0</v>
      </c>
      <c r="Q54" s="460">
        <f t="shared" si="45"/>
        <v>0</v>
      </c>
    </row>
    <row r="55" spans="1:17" hidden="1" x14ac:dyDescent="0.2">
      <c r="A55" s="133" t="str">
        <f>A49</f>
        <v>Accumulated Depreciation</v>
      </c>
      <c r="B55" s="133"/>
      <c r="C55" s="460">
        <f>C54</f>
        <v>0</v>
      </c>
      <c r="D55" s="460">
        <f t="shared" ref="D55:I55" si="46">D54+C55</f>
        <v>0</v>
      </c>
      <c r="E55" s="460">
        <f t="shared" si="46"/>
        <v>0</v>
      </c>
      <c r="F55" s="460">
        <f t="shared" si="46"/>
        <v>0</v>
      </c>
      <c r="G55" s="460">
        <f t="shared" si="46"/>
        <v>0</v>
      </c>
      <c r="H55" s="460">
        <f t="shared" si="46"/>
        <v>0</v>
      </c>
      <c r="I55" s="460">
        <f t="shared" si="46"/>
        <v>0</v>
      </c>
      <c r="J55" s="83"/>
      <c r="K55" s="460">
        <f>K54</f>
        <v>0</v>
      </c>
      <c r="L55" s="460">
        <f t="shared" ref="L55:Q55" si="47">L54+K55</f>
        <v>0</v>
      </c>
      <c r="M55" s="460">
        <f t="shared" si="47"/>
        <v>0</v>
      </c>
      <c r="N55" s="460">
        <f t="shared" si="47"/>
        <v>0</v>
      </c>
      <c r="O55" s="460">
        <f t="shared" si="47"/>
        <v>0</v>
      </c>
      <c r="P55" s="460">
        <f t="shared" si="47"/>
        <v>0</v>
      </c>
      <c r="Q55" s="460">
        <f t="shared" si="47"/>
        <v>0</v>
      </c>
    </row>
    <row r="56" spans="1:17" hidden="1" x14ac:dyDescent="0.2">
      <c r="A56" s="133" t="str">
        <f>A50</f>
        <v>Net Fixed Assets</v>
      </c>
      <c r="B56" s="133"/>
      <c r="C56" s="460">
        <f t="shared" ref="C56:I56" si="48">C53-C54</f>
        <v>0</v>
      </c>
      <c r="D56" s="460">
        <f t="shared" si="48"/>
        <v>0</v>
      </c>
      <c r="E56" s="460">
        <f t="shared" si="48"/>
        <v>0</v>
      </c>
      <c r="F56" s="460">
        <f t="shared" si="48"/>
        <v>0</v>
      </c>
      <c r="G56" s="460">
        <f t="shared" si="48"/>
        <v>0</v>
      </c>
      <c r="H56" s="460">
        <f t="shared" si="48"/>
        <v>0</v>
      </c>
      <c r="I56" s="460">
        <f t="shared" si="48"/>
        <v>0</v>
      </c>
      <c r="J56" s="83"/>
      <c r="K56" s="460">
        <f t="shared" ref="K56:Q56" si="49">K53-K54</f>
        <v>0</v>
      </c>
      <c r="L56" s="460">
        <f t="shared" si="49"/>
        <v>0</v>
      </c>
      <c r="M56" s="460">
        <f t="shared" si="49"/>
        <v>0</v>
      </c>
      <c r="N56" s="460">
        <f t="shared" si="49"/>
        <v>0</v>
      </c>
      <c r="O56" s="460">
        <f t="shared" si="49"/>
        <v>0</v>
      </c>
      <c r="P56" s="460">
        <f t="shared" si="49"/>
        <v>0</v>
      </c>
      <c r="Q56" s="460">
        <f t="shared" si="49"/>
        <v>0</v>
      </c>
    </row>
    <row r="57" spans="1:17" x14ac:dyDescent="0.2">
      <c r="A57" s="134" t="s">
        <v>194</v>
      </c>
      <c r="B57" s="134"/>
      <c r="C57" s="461">
        <f t="shared" ref="C57:I60" si="50">C41+C35+C29+C47+C53</f>
        <v>141.3981</v>
      </c>
      <c r="D57" s="461">
        <f t="shared" si="50"/>
        <v>135.90179627000001</v>
      </c>
      <c r="E57" s="461">
        <f t="shared" si="50"/>
        <v>130.40549254000001</v>
      </c>
      <c r="F57" s="461">
        <f t="shared" si="50"/>
        <v>124.90918881000002</v>
      </c>
      <c r="G57" s="461">
        <f t="shared" si="50"/>
        <v>119.41288508000002</v>
      </c>
      <c r="H57" s="461">
        <f t="shared" si="50"/>
        <v>113.91658135000003</v>
      </c>
      <c r="I57" s="461">
        <f t="shared" si="50"/>
        <v>108.42027762000004</v>
      </c>
      <c r="J57" s="83"/>
      <c r="K57" s="461">
        <f t="shared" ref="K57:Q60" si="51">K41+K35+K29+K47+K53</f>
        <v>141.3981</v>
      </c>
      <c r="L57" s="461">
        <f t="shared" si="51"/>
        <v>125.653885</v>
      </c>
      <c r="M57" s="461">
        <f t="shared" si="51"/>
        <v>111.72475225000001</v>
      </c>
      <c r="N57" s="461">
        <f t="shared" si="51"/>
        <v>99.393094412500005</v>
      </c>
      <c r="O57" s="461">
        <f t="shared" si="51"/>
        <v>88.468479750624994</v>
      </c>
      <c r="P57" s="461">
        <f t="shared" si="51"/>
        <v>78.784122338031253</v>
      </c>
      <c r="Q57" s="461">
        <f t="shared" si="51"/>
        <v>70.193827082326564</v>
      </c>
    </row>
    <row r="58" spans="1:17" x14ac:dyDescent="0.2">
      <c r="A58" s="134" t="s">
        <v>195</v>
      </c>
      <c r="B58" s="134"/>
      <c r="C58" s="461">
        <f t="shared" si="50"/>
        <v>5.4963037300000002</v>
      </c>
      <c r="D58" s="461">
        <f t="shared" si="50"/>
        <v>5.4963037300000002</v>
      </c>
      <c r="E58" s="461">
        <f t="shared" si="50"/>
        <v>5.4963037300000002</v>
      </c>
      <c r="F58" s="461">
        <f t="shared" si="50"/>
        <v>5.4963037300000002</v>
      </c>
      <c r="G58" s="461">
        <f t="shared" si="50"/>
        <v>5.4963037300000002</v>
      </c>
      <c r="H58" s="461">
        <f t="shared" si="50"/>
        <v>5.4963037300000002</v>
      </c>
      <c r="I58" s="461">
        <f t="shared" si="50"/>
        <v>5.4963037300000002</v>
      </c>
      <c r="J58" s="83"/>
      <c r="K58" s="461">
        <f t="shared" si="51"/>
        <v>15.744215000000001</v>
      </c>
      <c r="L58" s="461">
        <f t="shared" si="51"/>
        <v>13.929132750000001</v>
      </c>
      <c r="M58" s="461">
        <f t="shared" si="51"/>
        <v>12.331657837500002</v>
      </c>
      <c r="N58" s="461">
        <f t="shared" si="51"/>
        <v>10.924614661875001</v>
      </c>
      <c r="O58" s="461">
        <f t="shared" si="51"/>
        <v>9.6843574125937515</v>
      </c>
      <c r="P58" s="461">
        <f t="shared" si="51"/>
        <v>8.5902952557046888</v>
      </c>
      <c r="Q58" s="461">
        <f t="shared" si="51"/>
        <v>7.6244832768489843</v>
      </c>
    </row>
    <row r="59" spans="1:17" x14ac:dyDescent="0.2">
      <c r="A59" s="134" t="s">
        <v>196</v>
      </c>
      <c r="B59" s="134"/>
      <c r="C59" s="461">
        <f t="shared" si="50"/>
        <v>5.4963037300000002</v>
      </c>
      <c r="D59" s="461">
        <f t="shared" si="50"/>
        <v>10.99260746</v>
      </c>
      <c r="E59" s="461">
        <f t="shared" si="50"/>
        <v>16.488911190000003</v>
      </c>
      <c r="F59" s="461">
        <f t="shared" si="50"/>
        <v>21.985214920000001</v>
      </c>
      <c r="G59" s="461">
        <f t="shared" si="50"/>
        <v>27.481518649999998</v>
      </c>
      <c r="H59" s="461">
        <f t="shared" si="50"/>
        <v>32.977822379999999</v>
      </c>
      <c r="I59" s="461">
        <f t="shared" si="50"/>
        <v>38.47412611</v>
      </c>
      <c r="J59" s="83"/>
      <c r="K59" s="461">
        <f t="shared" si="51"/>
        <v>15.744215000000001</v>
      </c>
      <c r="L59" s="461">
        <f t="shared" si="51"/>
        <v>29.673347750000005</v>
      </c>
      <c r="M59" s="461">
        <f t="shared" si="51"/>
        <v>42.005005587500001</v>
      </c>
      <c r="N59" s="461">
        <f t="shared" si="51"/>
        <v>52.929620249375006</v>
      </c>
      <c r="O59" s="461">
        <f t="shared" si="51"/>
        <v>62.613977661968761</v>
      </c>
      <c r="P59" s="461">
        <f t="shared" si="51"/>
        <v>71.20427291767345</v>
      </c>
      <c r="Q59" s="461">
        <f t="shared" si="51"/>
        <v>78.828756194522427</v>
      </c>
    </row>
    <row r="60" spans="1:17" x14ac:dyDescent="0.2">
      <c r="A60" s="134" t="s">
        <v>190</v>
      </c>
      <c r="B60" s="134"/>
      <c r="C60" s="461">
        <f t="shared" si="50"/>
        <v>135.90179627000001</v>
      </c>
      <c r="D60" s="461">
        <f t="shared" si="50"/>
        <v>130.40549254000001</v>
      </c>
      <c r="E60" s="461">
        <f t="shared" si="50"/>
        <v>124.90918881000002</v>
      </c>
      <c r="F60" s="461">
        <f t="shared" si="50"/>
        <v>119.41288508000002</v>
      </c>
      <c r="G60" s="461">
        <f t="shared" si="50"/>
        <v>113.91658135000003</v>
      </c>
      <c r="H60" s="461">
        <f t="shared" si="50"/>
        <v>108.42027762000004</v>
      </c>
      <c r="I60" s="461">
        <f t="shared" si="50"/>
        <v>102.92397389000004</v>
      </c>
      <c r="J60" s="83"/>
      <c r="K60" s="461">
        <f t="shared" si="51"/>
        <v>125.653885</v>
      </c>
      <c r="L60" s="461">
        <f t="shared" si="51"/>
        <v>111.72475225000001</v>
      </c>
      <c r="M60" s="461">
        <f t="shared" si="51"/>
        <v>99.393094412500005</v>
      </c>
      <c r="N60" s="461">
        <f t="shared" si="51"/>
        <v>88.468479750624994</v>
      </c>
      <c r="O60" s="461">
        <f t="shared" si="51"/>
        <v>78.784122338031253</v>
      </c>
      <c r="P60" s="461">
        <f t="shared" si="51"/>
        <v>70.193827082326564</v>
      </c>
      <c r="Q60" s="461">
        <f t="shared" si="51"/>
        <v>62.569343805477573</v>
      </c>
    </row>
    <row r="61" spans="1:17" x14ac:dyDescent="0.2">
      <c r="A61" s="137"/>
      <c r="B61" s="137"/>
      <c r="C61" s="462"/>
      <c r="D61" s="462"/>
      <c r="E61" s="462"/>
      <c r="F61" s="462"/>
      <c r="G61" s="462"/>
      <c r="H61" s="462"/>
      <c r="I61" s="462"/>
      <c r="J61" s="78"/>
    </row>
    <row r="62" spans="1:17" x14ac:dyDescent="0.2">
      <c r="A62" s="78"/>
      <c r="B62" s="78"/>
      <c r="C62" s="463"/>
      <c r="D62" s="463"/>
      <c r="E62" s="463"/>
      <c r="F62" s="463"/>
      <c r="G62" s="463"/>
      <c r="H62" s="463"/>
      <c r="I62" s="463"/>
      <c r="J62" s="78"/>
    </row>
    <row r="63" spans="1:17" ht="25.5" x14ac:dyDescent="0.2">
      <c r="A63" s="138" t="s">
        <v>197</v>
      </c>
      <c r="B63" s="139" t="s">
        <v>198</v>
      </c>
      <c r="C63" s="464" t="s">
        <v>199</v>
      </c>
      <c r="D63" s="463"/>
      <c r="E63" s="463"/>
      <c r="F63" s="463"/>
      <c r="G63" s="463"/>
      <c r="H63" s="463"/>
      <c r="I63" s="463"/>
      <c r="J63" s="78"/>
    </row>
    <row r="64" spans="1:17" ht="25.5" x14ac:dyDescent="0.2">
      <c r="A64" s="140" t="s">
        <v>200</v>
      </c>
      <c r="B64" s="139" t="s">
        <v>201</v>
      </c>
      <c r="C64" s="464" t="s">
        <v>202</v>
      </c>
      <c r="D64" s="463"/>
      <c r="E64" s="463"/>
      <c r="F64" s="463"/>
      <c r="G64" s="463"/>
      <c r="H64" s="463"/>
      <c r="I64" s="463"/>
      <c r="J64" s="78"/>
    </row>
    <row r="65" spans="1:18" x14ac:dyDescent="0.2">
      <c r="A65" s="140" t="s">
        <v>143</v>
      </c>
      <c r="B65" s="141">
        <v>0</v>
      </c>
      <c r="C65" s="147">
        <v>0</v>
      </c>
      <c r="D65" s="463"/>
      <c r="E65" s="463"/>
      <c r="F65" s="463"/>
      <c r="G65" s="463"/>
      <c r="H65" s="463"/>
      <c r="I65" s="463"/>
      <c r="J65" s="78"/>
    </row>
    <row r="66" spans="1:18" x14ac:dyDescent="0.2">
      <c r="A66" s="142" t="s">
        <v>191</v>
      </c>
      <c r="B66" s="141">
        <v>3.1699999999999999E-2</v>
      </c>
      <c r="C66" s="147">
        <v>0.1</v>
      </c>
      <c r="D66" s="463"/>
      <c r="E66" s="463"/>
      <c r="F66" s="463"/>
      <c r="G66" s="463"/>
      <c r="H66" s="463"/>
      <c r="I66" s="463"/>
      <c r="J66" s="78"/>
    </row>
    <row r="67" spans="1:18" x14ac:dyDescent="0.2">
      <c r="A67" s="142" t="s">
        <v>193</v>
      </c>
      <c r="B67" s="144">
        <v>0.1</v>
      </c>
      <c r="C67" s="147">
        <v>0.1</v>
      </c>
      <c r="D67" s="463"/>
      <c r="E67" s="463"/>
      <c r="F67" s="463"/>
      <c r="G67" s="463"/>
      <c r="H67" s="463"/>
      <c r="I67" s="463"/>
      <c r="J67" s="78"/>
    </row>
    <row r="68" spans="1:18" x14ac:dyDescent="0.2">
      <c r="A68" s="78" t="s">
        <v>203</v>
      </c>
      <c r="B68" s="144">
        <v>0.1</v>
      </c>
      <c r="C68" s="465">
        <v>0.4</v>
      </c>
      <c r="D68" s="463"/>
      <c r="E68" s="463"/>
      <c r="F68" s="463"/>
      <c r="G68" s="463"/>
      <c r="H68" s="463"/>
      <c r="I68" s="463"/>
      <c r="J68" s="78"/>
    </row>
    <row r="69" spans="1:18" x14ac:dyDescent="0.2">
      <c r="A69" s="78" t="s">
        <v>267</v>
      </c>
      <c r="B69" s="144">
        <v>0.1188</v>
      </c>
      <c r="C69" s="465">
        <v>0.15</v>
      </c>
      <c r="D69" s="463"/>
      <c r="E69" s="463"/>
      <c r="F69" s="463"/>
      <c r="G69" s="463"/>
      <c r="H69" s="463"/>
      <c r="I69" s="463"/>
      <c r="J69" s="78"/>
    </row>
    <row r="70" spans="1:18" x14ac:dyDescent="0.2">
      <c r="A70" s="142" t="s">
        <v>204</v>
      </c>
      <c r="B70" s="144">
        <v>6.3299999999999995E-2</v>
      </c>
      <c r="C70" s="465">
        <v>0.15</v>
      </c>
      <c r="D70" s="463"/>
      <c r="E70" s="463"/>
      <c r="F70" s="463"/>
      <c r="G70" s="463"/>
      <c r="H70" s="463"/>
      <c r="I70" s="463"/>
      <c r="J70" s="78"/>
    </row>
    <row r="71" spans="1:18" ht="25.5" x14ac:dyDescent="0.2">
      <c r="A71" s="140" t="s">
        <v>197</v>
      </c>
      <c r="B71" s="141"/>
      <c r="C71" s="147"/>
      <c r="D71" s="463"/>
      <c r="E71" s="463"/>
      <c r="F71" s="463"/>
      <c r="G71" s="463"/>
      <c r="H71" s="463"/>
      <c r="I71" s="463"/>
      <c r="J71" s="78"/>
    </row>
    <row r="72" spans="1:18" x14ac:dyDescent="0.2">
      <c r="A72" s="142" t="s">
        <v>205</v>
      </c>
      <c r="B72" s="145">
        <v>0.2</v>
      </c>
      <c r="C72" s="466">
        <v>0.2</v>
      </c>
      <c r="D72" s="463"/>
      <c r="E72" s="463"/>
      <c r="F72" s="463"/>
      <c r="G72" s="463"/>
      <c r="H72" s="463"/>
      <c r="I72" s="463"/>
      <c r="J72" s="78"/>
    </row>
    <row r="73" spans="1:18" x14ac:dyDescent="0.2">
      <c r="A73" s="78"/>
      <c r="B73" s="78"/>
      <c r="C73" s="463"/>
      <c r="D73" s="463"/>
      <c r="E73" s="463"/>
      <c r="F73" s="463"/>
      <c r="G73" s="463"/>
      <c r="H73" s="463"/>
      <c r="I73" s="463"/>
      <c r="J73" s="78"/>
    </row>
    <row r="74" spans="1:18" x14ac:dyDescent="0.2">
      <c r="A74" s="78"/>
      <c r="B74" s="78"/>
      <c r="C74" s="463"/>
      <c r="D74" s="463"/>
      <c r="E74" s="467"/>
      <c r="F74" s="463"/>
      <c r="G74" s="463"/>
      <c r="H74" s="463"/>
      <c r="I74" s="463"/>
      <c r="J74" s="78"/>
    </row>
    <row r="75" spans="1:18" s="54" customFormat="1" ht="18" x14ac:dyDescent="0.2">
      <c r="A75" s="704" t="s">
        <v>505</v>
      </c>
      <c r="B75" s="704"/>
      <c r="C75" s="704"/>
      <c r="D75" s="704"/>
      <c r="E75" s="704"/>
      <c r="F75" s="704"/>
      <c r="G75" s="704"/>
      <c r="H75" s="704"/>
      <c r="I75" s="704"/>
      <c r="J75" s="704"/>
      <c r="K75" s="468"/>
      <c r="L75" s="468"/>
      <c r="M75" s="468"/>
      <c r="N75" s="468"/>
      <c r="O75" s="468"/>
      <c r="P75" s="468"/>
      <c r="Q75" s="468"/>
      <c r="R75" s="468"/>
    </row>
    <row r="76" spans="1:18" s="54" customFormat="1" x14ac:dyDescent="0.2">
      <c r="A76" s="33"/>
      <c r="B76" s="33"/>
      <c r="C76" s="468"/>
      <c r="D76" s="468"/>
      <c r="E76" s="468"/>
      <c r="F76" s="468"/>
      <c r="G76" s="468"/>
      <c r="H76" s="468"/>
      <c r="I76" s="468"/>
      <c r="K76" s="468"/>
      <c r="L76" s="468"/>
      <c r="M76" s="468"/>
      <c r="N76" s="468"/>
      <c r="O76" s="468"/>
      <c r="P76" s="468"/>
      <c r="Q76" s="468"/>
      <c r="R76" s="468"/>
    </row>
    <row r="77" spans="1:18" s="54" customFormat="1" x14ac:dyDescent="0.2">
      <c r="A77" s="125" t="s">
        <v>0</v>
      </c>
      <c r="B77" s="126" t="s">
        <v>327</v>
      </c>
      <c r="C77" s="469" t="s">
        <v>2</v>
      </c>
      <c r="D77" s="469" t="s">
        <v>3</v>
      </c>
      <c r="E77" s="469" t="s">
        <v>4</v>
      </c>
      <c r="F77" s="469" t="s">
        <v>5</v>
      </c>
      <c r="G77" s="469" t="s">
        <v>6</v>
      </c>
      <c r="H77" s="469" t="s">
        <v>163</v>
      </c>
      <c r="I77" s="469" t="s">
        <v>162</v>
      </c>
      <c r="J77" s="35"/>
      <c r="K77" s="472"/>
      <c r="L77" s="472"/>
      <c r="M77" s="468"/>
      <c r="N77" s="468"/>
      <c r="O77" s="468"/>
      <c r="P77" s="468"/>
      <c r="Q77" s="468"/>
      <c r="R77" s="468"/>
    </row>
    <row r="78" spans="1:18" s="54" customFormat="1" x14ac:dyDescent="0.2">
      <c r="A78" s="127" t="s">
        <v>246</v>
      </c>
      <c r="B78" s="128">
        <v>7</v>
      </c>
      <c r="C78" s="470">
        <f>'1.Project Cost and MOF'!$D$10/$B$78</f>
        <v>1.0099864285714286</v>
      </c>
      <c r="D78" s="470">
        <f>'1.Project Cost and MOF'!$D$10/$B$78</f>
        <v>1.0099864285714286</v>
      </c>
      <c r="E78" s="470">
        <f>'1.Project Cost and MOF'!$D$10/$B$78</f>
        <v>1.0099864285714286</v>
      </c>
      <c r="F78" s="470">
        <f>'1.Project Cost and MOF'!$D$10/$B$78</f>
        <v>1.0099864285714286</v>
      </c>
      <c r="G78" s="470">
        <f>'1.Project Cost and MOF'!$D$10/$B$78</f>
        <v>1.0099864285714286</v>
      </c>
      <c r="H78" s="470">
        <f>'1.Project Cost and MOF'!$D$10/$B$78</f>
        <v>1.0099864285714286</v>
      </c>
      <c r="I78" s="470">
        <f>'1.Project Cost and MOF'!$D$10/$B$78</f>
        <v>1.0099864285714286</v>
      </c>
      <c r="J78" s="35"/>
      <c r="K78" s="472"/>
      <c r="L78" s="472"/>
      <c r="M78" s="468"/>
      <c r="N78" s="468"/>
      <c r="O78" s="468"/>
      <c r="P78" s="468"/>
      <c r="Q78" s="468"/>
      <c r="R78" s="468"/>
    </row>
    <row r="79" spans="1:18" s="54" customFormat="1" x14ac:dyDescent="0.2">
      <c r="A79" s="129" t="s">
        <v>328</v>
      </c>
      <c r="B79" s="130"/>
      <c r="C79" s="471">
        <f t="shared" ref="C79:I79" si="52">SUM(C77:C78)</f>
        <v>1.0099864285714286</v>
      </c>
      <c r="D79" s="471">
        <f t="shared" si="52"/>
        <v>1.0099864285714286</v>
      </c>
      <c r="E79" s="471">
        <f t="shared" si="52"/>
        <v>1.0099864285714286</v>
      </c>
      <c r="F79" s="471">
        <f t="shared" si="52"/>
        <v>1.0099864285714286</v>
      </c>
      <c r="G79" s="471">
        <f t="shared" si="52"/>
        <v>1.0099864285714286</v>
      </c>
      <c r="H79" s="471">
        <f t="shared" si="52"/>
        <v>1.0099864285714286</v>
      </c>
      <c r="I79" s="471">
        <f t="shared" si="52"/>
        <v>1.0099864285714286</v>
      </c>
      <c r="J79" s="55"/>
      <c r="K79" s="482"/>
      <c r="L79" s="482"/>
      <c r="M79" s="468"/>
      <c r="N79" s="468"/>
      <c r="O79" s="468"/>
      <c r="P79" s="468"/>
      <c r="Q79" s="468"/>
      <c r="R79" s="468"/>
    </row>
    <row r="80" spans="1:18" s="54" customFormat="1" x14ac:dyDescent="0.2">
      <c r="C80" s="472"/>
      <c r="D80" s="472"/>
      <c r="E80" s="472"/>
      <c r="F80" s="472"/>
      <c r="G80" s="472"/>
      <c r="H80" s="472"/>
      <c r="I80" s="472"/>
      <c r="J80" s="35"/>
      <c r="K80" s="472"/>
      <c r="L80" s="472"/>
      <c r="M80" s="468"/>
      <c r="N80" s="468"/>
      <c r="O80" s="468"/>
      <c r="P80" s="468"/>
      <c r="Q80" s="468"/>
      <c r="R80" s="468"/>
    </row>
    <row r="83" spans="1:17" x14ac:dyDescent="0.2">
      <c r="A83" s="31"/>
      <c r="B83" s="32"/>
      <c r="C83" s="473"/>
      <c r="D83" s="473"/>
      <c r="E83" s="473"/>
      <c r="F83" s="473"/>
      <c r="G83" s="473"/>
      <c r="H83" s="473"/>
      <c r="I83" s="473"/>
      <c r="J83" s="32"/>
      <c r="K83" s="473"/>
    </row>
    <row r="84" spans="1:17" ht="18" x14ac:dyDescent="0.2">
      <c r="A84" s="715" t="s">
        <v>506</v>
      </c>
      <c r="B84" s="715"/>
      <c r="C84" s="715"/>
      <c r="D84" s="715"/>
      <c r="E84" s="715"/>
      <c r="F84" s="715"/>
      <c r="G84" s="715"/>
      <c r="H84" s="715"/>
      <c r="I84" s="474"/>
      <c r="J84" s="124"/>
      <c r="K84" s="474"/>
      <c r="Q84" s="18">
        <v>10000000</v>
      </c>
    </row>
    <row r="85" spans="1:17" x14ac:dyDescent="0.2">
      <c r="A85" s="33"/>
      <c r="B85" s="32"/>
      <c r="C85" s="473"/>
      <c r="D85" s="473"/>
      <c r="E85" s="473"/>
      <c r="F85" s="473"/>
      <c r="G85" s="473"/>
      <c r="H85" s="473"/>
      <c r="I85" s="473"/>
      <c r="J85" s="32"/>
      <c r="K85" s="473"/>
      <c r="Q85" s="18">
        <f>+Q84*2%</f>
        <v>200000</v>
      </c>
    </row>
    <row r="86" spans="1:17" x14ac:dyDescent="0.2">
      <c r="A86" s="122" t="s">
        <v>0</v>
      </c>
      <c r="B86" s="102" t="s">
        <v>2</v>
      </c>
      <c r="C86" s="475" t="s">
        <v>3</v>
      </c>
      <c r="D86" s="475" t="s">
        <v>4</v>
      </c>
      <c r="E86" s="475" t="s">
        <v>5</v>
      </c>
      <c r="F86" s="475" t="s">
        <v>6</v>
      </c>
      <c r="G86" s="475" t="s">
        <v>163</v>
      </c>
      <c r="H86" s="475" t="s">
        <v>162</v>
      </c>
      <c r="I86" s="476"/>
      <c r="J86" s="26"/>
      <c r="K86" s="476"/>
    </row>
    <row r="87" spans="1:17" x14ac:dyDescent="0.2">
      <c r="A87" s="75" t="s">
        <v>218</v>
      </c>
      <c r="B87" s="487">
        <f>'6.Cons Profit &amp; Loss'!B54</f>
        <v>15.975741257869972</v>
      </c>
      <c r="C87" s="487">
        <f>'6.Cons Profit &amp; Loss'!C54</f>
        <v>22.997544278783209</v>
      </c>
      <c r="D87" s="487">
        <f>'6.Cons Profit &amp; Loss'!D54</f>
        <v>31.550434921871776</v>
      </c>
      <c r="E87" s="487">
        <f>'6.Cons Profit &amp; Loss'!E54</f>
        <v>42.518081352959996</v>
      </c>
      <c r="F87" s="487">
        <f>'6.Cons Profit &amp; Loss'!F54</f>
        <v>49.415514090304328</v>
      </c>
      <c r="G87" s="487">
        <f>'6.Cons Profit &amp; Loss'!G54</f>
        <v>58.937995597880814</v>
      </c>
      <c r="H87" s="487">
        <f>'6.Cons Profit &amp; Loss'!H54</f>
        <v>70.723988552000975</v>
      </c>
      <c r="I87" s="477"/>
      <c r="J87" s="34"/>
      <c r="K87" s="477"/>
    </row>
    <row r="88" spans="1:17" x14ac:dyDescent="0.2">
      <c r="A88" s="75" t="s">
        <v>219</v>
      </c>
      <c r="B88" s="487">
        <f>'6.Cons Profit &amp; Loss'!B46</f>
        <v>5.4963037300000002</v>
      </c>
      <c r="C88" s="487">
        <f>'6.Cons Profit &amp; Loss'!C46</f>
        <v>5.4963037300000002</v>
      </c>
      <c r="D88" s="487">
        <f>'6.Cons Profit &amp; Loss'!D46</f>
        <v>5.4963037300000002</v>
      </c>
      <c r="E88" s="487">
        <f>'6.Cons Profit &amp; Loss'!E46</f>
        <v>5.4963037300000002</v>
      </c>
      <c r="F88" s="487">
        <f>'6.Cons Profit &amp; Loss'!F46</f>
        <v>5.4963037300000002</v>
      </c>
      <c r="G88" s="487">
        <f>'6.Cons Profit &amp; Loss'!G46</f>
        <v>5.4963037300000002</v>
      </c>
      <c r="H88" s="487">
        <f>'6.Cons Profit &amp; Loss'!H46</f>
        <v>5.4963037300000002</v>
      </c>
      <c r="I88" s="477"/>
      <c r="J88" s="34"/>
      <c r="K88" s="477"/>
    </row>
    <row r="89" spans="1:17" x14ac:dyDescent="0.2">
      <c r="A89" s="75" t="s">
        <v>220</v>
      </c>
      <c r="B89" s="487">
        <f>'3.Other Exp &amp; Taxes'!K58</f>
        <v>15.744215000000001</v>
      </c>
      <c r="C89" s="487">
        <f>'3.Other Exp &amp; Taxes'!L58</f>
        <v>13.929132750000001</v>
      </c>
      <c r="D89" s="487">
        <f>'3.Other Exp &amp; Taxes'!M58</f>
        <v>12.331657837500002</v>
      </c>
      <c r="E89" s="487">
        <f>'3.Other Exp &amp; Taxes'!N58</f>
        <v>10.924614661875001</v>
      </c>
      <c r="F89" s="487">
        <f>'3.Other Exp &amp; Taxes'!O58</f>
        <v>9.6843574125937515</v>
      </c>
      <c r="G89" s="487">
        <f>'3.Other Exp &amp; Taxes'!P58</f>
        <v>8.5902952557046888</v>
      </c>
      <c r="H89" s="487">
        <f>'3.Other Exp &amp; Taxes'!Q58</f>
        <v>7.6244832768489843</v>
      </c>
      <c r="I89" s="477"/>
      <c r="J89" s="34"/>
      <c r="K89" s="477"/>
    </row>
    <row r="90" spans="1:17" x14ac:dyDescent="0.2">
      <c r="A90" s="75" t="s">
        <v>279</v>
      </c>
      <c r="B90" s="487">
        <f t="shared" ref="B90:H90" si="53">B87+B88-B89</f>
        <v>5.7278299878699706</v>
      </c>
      <c r="C90" s="487">
        <f t="shared" si="53"/>
        <v>14.56471525878321</v>
      </c>
      <c r="D90" s="487">
        <f t="shared" si="53"/>
        <v>24.715080814371774</v>
      </c>
      <c r="E90" s="487">
        <f t="shared" si="53"/>
        <v>37.089770421084992</v>
      </c>
      <c r="F90" s="487">
        <f t="shared" si="53"/>
        <v>45.227460407710581</v>
      </c>
      <c r="G90" s="487">
        <f t="shared" si="53"/>
        <v>55.844004072176119</v>
      </c>
      <c r="H90" s="487">
        <f t="shared" si="53"/>
        <v>68.595809005151978</v>
      </c>
      <c r="I90" s="477"/>
      <c r="J90" s="34"/>
      <c r="K90" s="477"/>
    </row>
    <row r="91" spans="1:17" x14ac:dyDescent="0.2">
      <c r="A91" s="614" t="s">
        <v>221</v>
      </c>
      <c r="B91" s="615">
        <f>+$B$94*B90</f>
        <v>1.4892357968461925</v>
      </c>
      <c r="C91" s="615">
        <f t="shared" ref="C91:H91" si="54">+$B$94*C90</f>
        <v>3.7868259672836344</v>
      </c>
      <c r="D91" s="615">
        <f t="shared" si="54"/>
        <v>6.4259210117366612</v>
      </c>
      <c r="E91" s="615">
        <f t="shared" si="54"/>
        <v>9.6433403094820989</v>
      </c>
      <c r="F91" s="615">
        <f t="shared" si="54"/>
        <v>11.759139706004751</v>
      </c>
      <c r="G91" s="615">
        <f t="shared" si="54"/>
        <v>14.519441058765791</v>
      </c>
      <c r="H91" s="615">
        <f t="shared" si="54"/>
        <v>17.834910341339516</v>
      </c>
      <c r="I91" s="477"/>
      <c r="J91" s="34"/>
      <c r="K91" s="477"/>
    </row>
    <row r="92" spans="1:17" x14ac:dyDescent="0.2">
      <c r="A92" s="618"/>
      <c r="B92" s="619"/>
      <c r="C92" s="473"/>
      <c r="D92" s="473"/>
      <c r="E92" s="473"/>
      <c r="F92" s="473"/>
      <c r="G92" s="473"/>
      <c r="H92" s="473"/>
      <c r="I92" s="473"/>
      <c r="J92" s="32"/>
      <c r="K92" s="473"/>
    </row>
    <row r="93" spans="1:17" x14ac:dyDescent="0.2">
      <c r="A93" s="616"/>
      <c r="B93" s="35"/>
      <c r="C93" s="472"/>
      <c r="D93" s="472"/>
      <c r="E93" s="472"/>
      <c r="F93" s="472"/>
      <c r="G93" s="472"/>
      <c r="H93" s="472"/>
      <c r="I93" s="472"/>
      <c r="J93" s="35"/>
      <c r="K93" s="472"/>
    </row>
    <row r="94" spans="1:17" x14ac:dyDescent="0.2">
      <c r="A94" s="617" t="s">
        <v>379</v>
      </c>
      <c r="B94" s="242">
        <v>0.26</v>
      </c>
      <c r="C94" s="472"/>
      <c r="D94" s="472"/>
      <c r="E94" s="472"/>
      <c r="F94" s="472"/>
      <c r="G94" s="472"/>
      <c r="H94" s="472"/>
      <c r="I94" s="472"/>
      <c r="J94" s="35"/>
      <c r="K94" s="472"/>
    </row>
    <row r="95" spans="1:17" x14ac:dyDescent="0.2">
      <c r="A95" s="32"/>
      <c r="B95" s="32"/>
      <c r="C95" s="473"/>
      <c r="D95" s="473"/>
      <c r="E95" s="473"/>
      <c r="F95" s="473"/>
      <c r="G95" s="473"/>
      <c r="H95" s="473"/>
      <c r="I95" s="473"/>
      <c r="J95" s="32"/>
      <c r="K95" s="473"/>
    </row>
    <row r="96" spans="1:17" ht="29.1" customHeight="1" x14ac:dyDescent="0.2">
      <c r="A96" s="716" t="s">
        <v>407</v>
      </c>
      <c r="B96" s="716"/>
      <c r="C96" s="716"/>
      <c r="D96" s="716"/>
      <c r="E96" s="716"/>
      <c r="F96" s="716"/>
      <c r="G96" s="716"/>
      <c r="H96" s="716"/>
      <c r="I96" s="473"/>
      <c r="J96" s="30"/>
      <c r="K96" s="473"/>
    </row>
  </sheetData>
  <mergeCells count="8">
    <mergeCell ref="A2:I2"/>
    <mergeCell ref="A75:J75"/>
    <mergeCell ref="A84:H84"/>
    <mergeCell ref="A96:H96"/>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A29" zoomScale="80" zoomScaleSheetLayoutView="80" workbookViewId="0" xr3:uid="{F9CF3CF3-643B-5BE6-8B46-32C596A47465}">
      <selection activeCell="A9" sqref="A9:G57"/>
    </sheetView>
  </sheetViews>
  <sheetFormatPr defaultRowHeight="15" x14ac:dyDescent="0.2"/>
  <cols>
    <col min="2" max="2" width="15.46875" customWidth="1"/>
    <col min="3" max="3" width="28.11328125" customWidth="1"/>
    <col min="4" max="4" width="14.66015625" customWidth="1"/>
    <col min="5" max="5" width="25.828125" bestFit="1" customWidth="1"/>
    <col min="6" max="6" width="12.10546875" style="622" customWidth="1"/>
    <col min="7" max="7" width="27.3046875" bestFit="1" customWidth="1"/>
    <col min="8" max="8" width="12.23828125" bestFit="1" customWidth="1"/>
    <col min="9" max="9" width="11.703125" bestFit="1" customWidth="1"/>
  </cols>
  <sheetData>
    <row r="2" spans="1:7" ht="18" x14ac:dyDescent="0.2">
      <c r="A2" s="702" t="s">
        <v>507</v>
      </c>
      <c r="B2" s="702"/>
      <c r="C2" s="702"/>
      <c r="D2" s="702"/>
      <c r="E2" s="702"/>
      <c r="F2" s="702"/>
      <c r="G2" s="720"/>
    </row>
    <row r="3" spans="1:7" x14ac:dyDescent="0.2">
      <c r="B3" s="15"/>
      <c r="C3" s="15"/>
      <c r="D3" s="15"/>
      <c r="E3" s="15"/>
      <c r="F3" s="639"/>
      <c r="G3" s="15"/>
    </row>
    <row r="4" spans="1:7" x14ac:dyDescent="0.2">
      <c r="A4" s="78"/>
      <c r="B4" s="78"/>
      <c r="C4" s="78" t="s">
        <v>452</v>
      </c>
      <c r="D4" s="94">
        <f>'1.Project Cost and MOF'!E20</f>
        <v>29.693601000000001</v>
      </c>
      <c r="E4" s="78"/>
      <c r="F4" s="640"/>
      <c r="G4" s="78"/>
    </row>
    <row r="5" spans="1:7" x14ac:dyDescent="0.2">
      <c r="A5" s="78"/>
      <c r="B5" s="78"/>
      <c r="C5" s="78" t="s">
        <v>453</v>
      </c>
      <c r="D5" s="236">
        <v>0.09</v>
      </c>
      <c r="E5" s="78"/>
      <c r="F5" s="640"/>
      <c r="G5" s="78"/>
    </row>
    <row r="6" spans="1:7" x14ac:dyDescent="0.2">
      <c r="A6" s="78"/>
      <c r="B6" s="78"/>
      <c r="C6" s="78" t="s">
        <v>454</v>
      </c>
      <c r="D6" s="237">
        <v>4</v>
      </c>
      <c r="E6" s="78"/>
      <c r="F6" s="640"/>
      <c r="G6" s="78"/>
    </row>
    <row r="7" spans="1:7" x14ac:dyDescent="0.2">
      <c r="A7" s="78"/>
      <c r="B7" s="78"/>
      <c r="C7" s="78" t="s">
        <v>455</v>
      </c>
      <c r="D7" s="237">
        <v>6</v>
      </c>
      <c r="E7" s="78"/>
      <c r="F7" s="640"/>
      <c r="G7" s="78"/>
    </row>
    <row r="8" spans="1:7" x14ac:dyDescent="0.2">
      <c r="A8" s="78"/>
      <c r="B8" s="78"/>
      <c r="C8" s="78" t="s">
        <v>21</v>
      </c>
      <c r="D8" s="173">
        <f>PMT(D5/12,(D6-(D7/12))*12,-D4)</f>
        <v>0.82680399341874311</v>
      </c>
      <c r="E8" s="173"/>
      <c r="F8" s="640"/>
      <c r="G8" s="78"/>
    </row>
    <row r="9" spans="1:7" x14ac:dyDescent="0.2">
      <c r="A9" s="122" t="s">
        <v>280</v>
      </c>
      <c r="B9" s="174" t="s">
        <v>17</v>
      </c>
      <c r="C9" s="175" t="s">
        <v>18</v>
      </c>
      <c r="D9" s="175" t="s">
        <v>19</v>
      </c>
      <c r="E9" s="175" t="s">
        <v>20</v>
      </c>
      <c r="F9" s="641" t="s">
        <v>21</v>
      </c>
      <c r="G9" s="175" t="s">
        <v>22</v>
      </c>
    </row>
    <row r="10" spans="1:7" x14ac:dyDescent="0.2">
      <c r="A10" s="79" t="s">
        <v>10</v>
      </c>
      <c r="B10" s="79" t="s">
        <v>49</v>
      </c>
      <c r="C10" s="80">
        <f>D4</f>
        <v>29.693601000000001</v>
      </c>
      <c r="D10" s="362">
        <f t="shared" ref="D10:D41" si="0">C10*$D$5/12</f>
        <v>0.22270200749999999</v>
      </c>
      <c r="E10" s="80">
        <f t="shared" ref="E10:E15" si="1">F10-D10</f>
        <v>0</v>
      </c>
      <c r="F10" s="630">
        <f>D10</f>
        <v>0.22270200749999999</v>
      </c>
      <c r="G10" s="630">
        <f>C10-E10</f>
        <v>29.693601000000001</v>
      </c>
    </row>
    <row r="11" spans="1:7" x14ac:dyDescent="0.2">
      <c r="A11" s="79"/>
      <c r="B11" s="79" t="s">
        <v>50</v>
      </c>
      <c r="C11" s="80">
        <f>G10</f>
        <v>29.693601000000001</v>
      </c>
      <c r="D11" s="362">
        <f t="shared" si="0"/>
        <v>0.22270200749999999</v>
      </c>
      <c r="E11" s="80">
        <f t="shared" si="1"/>
        <v>0</v>
      </c>
      <c r="F11" s="630">
        <f t="shared" ref="F11:F15" si="2">D11</f>
        <v>0.22270200749999999</v>
      </c>
      <c r="G11" s="630">
        <f t="shared" ref="G11:G57" si="3">C11-E11</f>
        <v>29.693601000000001</v>
      </c>
    </row>
    <row r="12" spans="1:7" x14ac:dyDescent="0.2">
      <c r="A12" s="79"/>
      <c r="B12" s="79" t="s">
        <v>51</v>
      </c>
      <c r="C12" s="80">
        <f t="shared" ref="C12:C57" si="4">G11</f>
        <v>29.693601000000001</v>
      </c>
      <c r="D12" s="362">
        <f t="shared" si="0"/>
        <v>0.22270200749999999</v>
      </c>
      <c r="E12" s="80">
        <f t="shared" si="1"/>
        <v>0</v>
      </c>
      <c r="F12" s="630">
        <f t="shared" si="2"/>
        <v>0.22270200749999999</v>
      </c>
      <c r="G12" s="630">
        <f t="shared" si="3"/>
        <v>29.693601000000001</v>
      </c>
    </row>
    <row r="13" spans="1:7" x14ac:dyDescent="0.2">
      <c r="A13" s="79"/>
      <c r="B13" s="79" t="s">
        <v>52</v>
      </c>
      <c r="C13" s="80">
        <f t="shared" si="4"/>
        <v>29.693601000000001</v>
      </c>
      <c r="D13" s="362">
        <f t="shared" si="0"/>
        <v>0.22270200749999999</v>
      </c>
      <c r="E13" s="80">
        <f t="shared" si="1"/>
        <v>0</v>
      </c>
      <c r="F13" s="630">
        <f t="shared" si="2"/>
        <v>0.22270200749999999</v>
      </c>
      <c r="G13" s="630">
        <f t="shared" si="3"/>
        <v>29.693601000000001</v>
      </c>
    </row>
    <row r="14" spans="1:7" x14ac:dyDescent="0.2">
      <c r="A14" s="79"/>
      <c r="B14" s="79" t="s">
        <v>53</v>
      </c>
      <c r="C14" s="80">
        <f t="shared" si="4"/>
        <v>29.693601000000001</v>
      </c>
      <c r="D14" s="362">
        <f t="shared" si="0"/>
        <v>0.22270200749999999</v>
      </c>
      <c r="E14" s="80">
        <f t="shared" si="1"/>
        <v>0</v>
      </c>
      <c r="F14" s="630">
        <f t="shared" si="2"/>
        <v>0.22270200749999999</v>
      </c>
      <c r="G14" s="630">
        <f t="shared" si="3"/>
        <v>29.693601000000001</v>
      </c>
    </row>
    <row r="15" spans="1:7" x14ac:dyDescent="0.2">
      <c r="A15" s="79"/>
      <c r="B15" s="79" t="s">
        <v>54</v>
      </c>
      <c r="C15" s="80">
        <f t="shared" si="4"/>
        <v>29.693601000000001</v>
      </c>
      <c r="D15" s="362">
        <f t="shared" si="0"/>
        <v>0.22270200749999999</v>
      </c>
      <c r="E15" s="80">
        <f t="shared" si="1"/>
        <v>0</v>
      </c>
      <c r="F15" s="630">
        <f t="shared" si="2"/>
        <v>0.22270200749999999</v>
      </c>
      <c r="G15" s="630">
        <f t="shared" si="3"/>
        <v>29.693601000000001</v>
      </c>
    </row>
    <row r="16" spans="1:7" x14ac:dyDescent="0.2">
      <c r="A16" s="79"/>
      <c r="B16" s="79" t="s">
        <v>55</v>
      </c>
      <c r="C16" s="80">
        <f t="shared" si="4"/>
        <v>29.693601000000001</v>
      </c>
      <c r="D16" s="362">
        <f t="shared" si="0"/>
        <v>0.22270200749999999</v>
      </c>
      <c r="E16" s="630">
        <f>F16-D16</f>
        <v>0.60410198591874309</v>
      </c>
      <c r="F16" s="630">
        <f t="shared" ref="F16:F57" si="5">$D$8</f>
        <v>0.82680399341874311</v>
      </c>
      <c r="G16" s="630">
        <f t="shared" si="3"/>
        <v>29.089499014081259</v>
      </c>
    </row>
    <row r="17" spans="1:9" x14ac:dyDescent="0.2">
      <c r="A17" s="79"/>
      <c r="B17" s="79" t="s">
        <v>56</v>
      </c>
      <c r="C17" s="80">
        <f t="shared" si="4"/>
        <v>29.089499014081259</v>
      </c>
      <c r="D17" s="362">
        <f t="shared" si="0"/>
        <v>0.21817124260560941</v>
      </c>
      <c r="E17" s="630">
        <f t="shared" ref="E17:E57" si="6">F17-D17</f>
        <v>0.60863275081313373</v>
      </c>
      <c r="F17" s="630">
        <f t="shared" si="5"/>
        <v>0.82680399341874311</v>
      </c>
      <c r="G17" s="630">
        <f t="shared" si="3"/>
        <v>28.480866263268126</v>
      </c>
    </row>
    <row r="18" spans="1:9" x14ac:dyDescent="0.2">
      <c r="A18" s="79"/>
      <c r="B18" s="79" t="s">
        <v>57</v>
      </c>
      <c r="C18" s="80">
        <f t="shared" si="4"/>
        <v>28.480866263268126</v>
      </c>
      <c r="D18" s="362">
        <f t="shared" si="0"/>
        <v>0.21360649697451095</v>
      </c>
      <c r="E18" s="630">
        <f t="shared" si="6"/>
        <v>0.61319749644423216</v>
      </c>
      <c r="F18" s="630">
        <f t="shared" si="5"/>
        <v>0.82680399341874311</v>
      </c>
      <c r="G18" s="630">
        <f t="shared" si="3"/>
        <v>27.867668766823893</v>
      </c>
    </row>
    <row r="19" spans="1:9" x14ac:dyDescent="0.2">
      <c r="A19" s="79"/>
      <c r="B19" s="79" t="s">
        <v>58</v>
      </c>
      <c r="C19" s="80">
        <f t="shared" si="4"/>
        <v>27.867668766823893</v>
      </c>
      <c r="D19" s="362">
        <f t="shared" si="0"/>
        <v>0.20900751575117918</v>
      </c>
      <c r="E19" s="630">
        <f t="shared" si="6"/>
        <v>0.61779647766756396</v>
      </c>
      <c r="F19" s="630">
        <f t="shared" si="5"/>
        <v>0.82680399341874311</v>
      </c>
      <c r="G19" s="630">
        <f t="shared" si="3"/>
        <v>27.249872289156329</v>
      </c>
    </row>
    <row r="20" spans="1:9" x14ac:dyDescent="0.2">
      <c r="A20" s="79"/>
      <c r="B20" s="79" t="s">
        <v>59</v>
      </c>
      <c r="C20" s="80">
        <f t="shared" si="4"/>
        <v>27.249872289156329</v>
      </c>
      <c r="D20" s="362">
        <f t="shared" si="0"/>
        <v>0.20437404216867247</v>
      </c>
      <c r="E20" s="630">
        <f t="shared" si="6"/>
        <v>0.62242995125007061</v>
      </c>
      <c r="F20" s="630">
        <f t="shared" si="5"/>
        <v>0.82680399341874311</v>
      </c>
      <c r="G20" s="630">
        <f t="shared" si="3"/>
        <v>26.62744233790626</v>
      </c>
    </row>
    <row r="21" spans="1:9" x14ac:dyDescent="0.2">
      <c r="A21" s="79"/>
      <c r="B21" s="79" t="s">
        <v>60</v>
      </c>
      <c r="C21" s="80">
        <f t="shared" si="4"/>
        <v>26.62744233790626</v>
      </c>
      <c r="D21" s="362">
        <f t="shared" si="0"/>
        <v>0.19970581753429695</v>
      </c>
      <c r="E21" s="630">
        <f t="shared" si="6"/>
        <v>0.62709817588444616</v>
      </c>
      <c r="F21" s="630">
        <f t="shared" si="5"/>
        <v>0.82680399341874311</v>
      </c>
      <c r="G21" s="630">
        <f t="shared" si="3"/>
        <v>26.000344162021815</v>
      </c>
      <c r="H21" s="1"/>
      <c r="I21" s="1"/>
    </row>
    <row r="22" spans="1:9" x14ac:dyDescent="0.2">
      <c r="A22" s="79" t="s">
        <v>11</v>
      </c>
      <c r="B22" s="79" t="s">
        <v>61</v>
      </c>
      <c r="C22" s="80">
        <f t="shared" si="4"/>
        <v>26.000344162021815</v>
      </c>
      <c r="D22" s="362">
        <f t="shared" si="0"/>
        <v>0.19500258121516359</v>
      </c>
      <c r="E22" s="630">
        <f t="shared" si="6"/>
        <v>0.63180141220357955</v>
      </c>
      <c r="F22" s="630">
        <f t="shared" si="5"/>
        <v>0.82680399341874311</v>
      </c>
      <c r="G22" s="630">
        <f t="shared" si="3"/>
        <v>25.368542749818236</v>
      </c>
    </row>
    <row r="23" spans="1:9" x14ac:dyDescent="0.2">
      <c r="A23" s="79"/>
      <c r="B23" s="79" t="s">
        <v>62</v>
      </c>
      <c r="C23" s="80">
        <f t="shared" si="4"/>
        <v>25.368542749818236</v>
      </c>
      <c r="D23" s="362">
        <f t="shared" si="0"/>
        <v>0.19026407062363673</v>
      </c>
      <c r="E23" s="630">
        <f t="shared" si="6"/>
        <v>0.63653992279510641</v>
      </c>
      <c r="F23" s="630">
        <f t="shared" si="5"/>
        <v>0.82680399341874311</v>
      </c>
      <c r="G23" s="630">
        <f t="shared" si="3"/>
        <v>24.73200282702313</v>
      </c>
    </row>
    <row r="24" spans="1:9" x14ac:dyDescent="0.2">
      <c r="A24" s="79"/>
      <c r="B24" s="79" t="s">
        <v>63</v>
      </c>
      <c r="C24" s="80">
        <f t="shared" si="4"/>
        <v>24.73200282702313</v>
      </c>
      <c r="D24" s="362">
        <f t="shared" si="0"/>
        <v>0.18549002120267347</v>
      </c>
      <c r="E24" s="630">
        <f t="shared" si="6"/>
        <v>0.64131397221606967</v>
      </c>
      <c r="F24" s="630">
        <f t="shared" si="5"/>
        <v>0.82680399341874311</v>
      </c>
      <c r="G24" s="630">
        <f t="shared" si="3"/>
        <v>24.090688854807063</v>
      </c>
    </row>
    <row r="25" spans="1:9" x14ac:dyDescent="0.2">
      <c r="A25" s="79"/>
      <c r="B25" s="79" t="s">
        <v>64</v>
      </c>
      <c r="C25" s="80">
        <f t="shared" si="4"/>
        <v>24.090688854807063</v>
      </c>
      <c r="D25" s="362">
        <f t="shared" si="0"/>
        <v>0.18068016641105297</v>
      </c>
      <c r="E25" s="630">
        <f t="shared" si="6"/>
        <v>0.64612382700769011</v>
      </c>
      <c r="F25" s="630">
        <f t="shared" si="5"/>
        <v>0.82680399341874311</v>
      </c>
      <c r="G25" s="630">
        <f t="shared" si="3"/>
        <v>23.444565027799371</v>
      </c>
    </row>
    <row r="26" spans="1:9" x14ac:dyDescent="0.2">
      <c r="A26" s="79"/>
      <c r="B26" s="79" t="s">
        <v>65</v>
      </c>
      <c r="C26" s="80">
        <f t="shared" si="4"/>
        <v>23.444565027799371</v>
      </c>
      <c r="D26" s="362">
        <f t="shared" si="0"/>
        <v>0.17583423770849527</v>
      </c>
      <c r="E26" s="630">
        <f t="shared" si="6"/>
        <v>0.65096975571024784</v>
      </c>
      <c r="F26" s="630">
        <f t="shared" si="5"/>
        <v>0.82680399341874311</v>
      </c>
      <c r="G26" s="630">
        <f t="shared" si="3"/>
        <v>22.793595272089124</v>
      </c>
    </row>
    <row r="27" spans="1:9" x14ac:dyDescent="0.2">
      <c r="A27" s="79"/>
      <c r="B27" s="79" t="s">
        <v>66</v>
      </c>
      <c r="C27" s="80">
        <f t="shared" si="4"/>
        <v>22.793595272089124</v>
      </c>
      <c r="D27" s="362">
        <f t="shared" si="0"/>
        <v>0.17095196454066841</v>
      </c>
      <c r="E27" s="630">
        <f t="shared" si="6"/>
        <v>0.6558520288780747</v>
      </c>
      <c r="F27" s="630">
        <f t="shared" si="5"/>
        <v>0.82680399341874311</v>
      </c>
      <c r="G27" s="630">
        <f t="shared" si="3"/>
        <v>22.137743243211048</v>
      </c>
    </row>
    <row r="28" spans="1:9" x14ac:dyDescent="0.2">
      <c r="A28" s="79"/>
      <c r="B28" s="79" t="s">
        <v>67</v>
      </c>
      <c r="C28" s="80">
        <f t="shared" si="4"/>
        <v>22.137743243211048</v>
      </c>
      <c r="D28" s="362">
        <f t="shared" si="0"/>
        <v>0.16603307432408285</v>
      </c>
      <c r="E28" s="630">
        <f t="shared" si="6"/>
        <v>0.66077091909466024</v>
      </c>
      <c r="F28" s="630">
        <f t="shared" si="5"/>
        <v>0.82680399341874311</v>
      </c>
      <c r="G28" s="630">
        <f t="shared" si="3"/>
        <v>21.476972324116389</v>
      </c>
    </row>
    <row r="29" spans="1:9" x14ac:dyDescent="0.2">
      <c r="A29" s="79"/>
      <c r="B29" s="79" t="s">
        <v>68</v>
      </c>
      <c r="C29" s="80">
        <f t="shared" si="4"/>
        <v>21.476972324116389</v>
      </c>
      <c r="D29" s="362">
        <f t="shared" si="0"/>
        <v>0.1610772924308729</v>
      </c>
      <c r="E29" s="630">
        <f t="shared" si="6"/>
        <v>0.66572670098787023</v>
      </c>
      <c r="F29" s="630">
        <f t="shared" si="5"/>
        <v>0.82680399341874311</v>
      </c>
      <c r="G29" s="630">
        <f t="shared" si="3"/>
        <v>20.811245623128517</v>
      </c>
    </row>
    <row r="30" spans="1:9" x14ac:dyDescent="0.2">
      <c r="A30" s="79"/>
      <c r="B30" s="79" t="s">
        <v>69</v>
      </c>
      <c r="C30" s="80">
        <f t="shared" si="4"/>
        <v>20.811245623128517</v>
      </c>
      <c r="D30" s="362">
        <f t="shared" si="0"/>
        <v>0.15608434217346387</v>
      </c>
      <c r="E30" s="630">
        <f t="shared" si="6"/>
        <v>0.67071965124527921</v>
      </c>
      <c r="F30" s="630">
        <f t="shared" si="5"/>
        <v>0.82680399341874311</v>
      </c>
      <c r="G30" s="630">
        <f t="shared" si="3"/>
        <v>20.140525971883239</v>
      </c>
    </row>
    <row r="31" spans="1:9" x14ac:dyDescent="0.2">
      <c r="A31" s="79"/>
      <c r="B31" s="79" t="s">
        <v>70</v>
      </c>
      <c r="C31" s="80">
        <f t="shared" si="4"/>
        <v>20.140525971883239</v>
      </c>
      <c r="D31" s="362">
        <f t="shared" si="0"/>
        <v>0.15105394478912429</v>
      </c>
      <c r="E31" s="630">
        <f t="shared" si="6"/>
        <v>0.67575004862961885</v>
      </c>
      <c r="F31" s="630">
        <f t="shared" si="5"/>
        <v>0.82680399341874311</v>
      </c>
      <c r="G31" s="630">
        <f t="shared" si="3"/>
        <v>19.464775923253619</v>
      </c>
    </row>
    <row r="32" spans="1:9" x14ac:dyDescent="0.2">
      <c r="A32" s="79"/>
      <c r="B32" s="79" t="s">
        <v>71</v>
      </c>
      <c r="C32" s="80">
        <f t="shared" si="4"/>
        <v>19.464775923253619</v>
      </c>
      <c r="D32" s="362">
        <f t="shared" si="0"/>
        <v>0.14598581942440214</v>
      </c>
      <c r="E32" s="630">
        <f t="shared" si="6"/>
        <v>0.68081817399434097</v>
      </c>
      <c r="F32" s="630">
        <f t="shared" si="5"/>
        <v>0.82680399341874311</v>
      </c>
      <c r="G32" s="630">
        <f t="shared" si="3"/>
        <v>18.78395774925928</v>
      </c>
    </row>
    <row r="33" spans="1:9" x14ac:dyDescent="0.2">
      <c r="A33" s="79"/>
      <c r="B33" s="79" t="s">
        <v>72</v>
      </c>
      <c r="C33" s="80">
        <f t="shared" si="4"/>
        <v>18.78395774925928</v>
      </c>
      <c r="D33" s="362">
        <f t="shared" si="0"/>
        <v>0.1408796831194446</v>
      </c>
      <c r="E33" s="630">
        <f t="shared" si="6"/>
        <v>0.68592431029929846</v>
      </c>
      <c r="F33" s="630">
        <f t="shared" si="5"/>
        <v>0.82680399341874311</v>
      </c>
      <c r="G33" s="630">
        <f t="shared" si="3"/>
        <v>18.09803343895998</v>
      </c>
      <c r="H33" s="1"/>
      <c r="I33" s="1"/>
    </row>
    <row r="34" spans="1:9" x14ac:dyDescent="0.2">
      <c r="A34" s="79" t="s">
        <v>12</v>
      </c>
      <c r="B34" s="79" t="s">
        <v>73</v>
      </c>
      <c r="C34" s="80">
        <f t="shared" si="4"/>
        <v>18.09803343895998</v>
      </c>
      <c r="D34" s="362">
        <f t="shared" si="0"/>
        <v>0.13573525079219986</v>
      </c>
      <c r="E34" s="630">
        <f t="shared" si="6"/>
        <v>0.69106874262654328</v>
      </c>
      <c r="F34" s="630">
        <f t="shared" si="5"/>
        <v>0.82680399341874311</v>
      </c>
      <c r="G34" s="630">
        <f t="shared" si="3"/>
        <v>17.406964696333436</v>
      </c>
    </row>
    <row r="35" spans="1:9" x14ac:dyDescent="0.2">
      <c r="A35" s="79"/>
      <c r="B35" s="79" t="s">
        <v>74</v>
      </c>
      <c r="C35" s="80">
        <f t="shared" si="4"/>
        <v>17.406964696333436</v>
      </c>
      <c r="D35" s="362">
        <f t="shared" si="0"/>
        <v>0.13055223522250076</v>
      </c>
      <c r="E35" s="630">
        <f t="shared" si="6"/>
        <v>0.69625175819624241</v>
      </c>
      <c r="F35" s="630">
        <f t="shared" si="5"/>
        <v>0.82680399341874311</v>
      </c>
      <c r="G35" s="630">
        <f t="shared" si="3"/>
        <v>16.710712938137192</v>
      </c>
    </row>
    <row r="36" spans="1:9" x14ac:dyDescent="0.2">
      <c r="A36" s="79"/>
      <c r="B36" s="79" t="s">
        <v>75</v>
      </c>
      <c r="C36" s="80">
        <f t="shared" si="4"/>
        <v>16.710712938137192</v>
      </c>
      <c r="D36" s="362">
        <f t="shared" si="0"/>
        <v>0.12533034703602894</v>
      </c>
      <c r="E36" s="630">
        <f t="shared" si="6"/>
        <v>0.70147364638271414</v>
      </c>
      <c r="F36" s="630">
        <f t="shared" si="5"/>
        <v>0.82680399341874311</v>
      </c>
      <c r="G36" s="630">
        <f t="shared" si="3"/>
        <v>16.009239291754479</v>
      </c>
    </row>
    <row r="37" spans="1:9" x14ac:dyDescent="0.2">
      <c r="A37" s="79"/>
      <c r="B37" s="79" t="s">
        <v>76</v>
      </c>
      <c r="C37" s="80">
        <f t="shared" si="4"/>
        <v>16.009239291754479</v>
      </c>
      <c r="D37" s="362">
        <f t="shared" si="0"/>
        <v>0.12006929468815859</v>
      </c>
      <c r="E37" s="630">
        <f t="shared" si="6"/>
        <v>0.70673469873058448</v>
      </c>
      <c r="F37" s="630">
        <f t="shared" si="5"/>
        <v>0.82680399341874311</v>
      </c>
      <c r="G37" s="630">
        <f t="shared" si="3"/>
        <v>15.302504593023894</v>
      </c>
    </row>
    <row r="38" spans="1:9" x14ac:dyDescent="0.2">
      <c r="A38" s="79"/>
      <c r="B38" s="79" t="s">
        <v>77</v>
      </c>
      <c r="C38" s="80">
        <f t="shared" si="4"/>
        <v>15.302504593023894</v>
      </c>
      <c r="D38" s="362">
        <f t="shared" si="0"/>
        <v>0.1147687844476792</v>
      </c>
      <c r="E38" s="630">
        <f t="shared" si="6"/>
        <v>0.71203520897106387</v>
      </c>
      <c r="F38" s="630">
        <f t="shared" si="5"/>
        <v>0.82680399341874311</v>
      </c>
      <c r="G38" s="630">
        <f t="shared" si="3"/>
        <v>14.590469384052829</v>
      </c>
    </row>
    <row r="39" spans="1:9" x14ac:dyDescent="0.2">
      <c r="A39" s="79"/>
      <c r="B39" s="79" t="s">
        <v>78</v>
      </c>
      <c r="C39" s="80">
        <f t="shared" si="4"/>
        <v>14.590469384052829</v>
      </c>
      <c r="D39" s="362">
        <f t="shared" si="0"/>
        <v>0.1094285203803962</v>
      </c>
      <c r="E39" s="630">
        <f t="shared" si="6"/>
        <v>0.71737547303834692</v>
      </c>
      <c r="F39" s="630">
        <f t="shared" si="5"/>
        <v>0.82680399341874311</v>
      </c>
      <c r="G39" s="630">
        <f t="shared" si="3"/>
        <v>13.873093911014482</v>
      </c>
    </row>
    <row r="40" spans="1:9" x14ac:dyDescent="0.2">
      <c r="A40" s="79"/>
      <c r="B40" s="79" t="s">
        <v>79</v>
      </c>
      <c r="C40" s="80">
        <f t="shared" si="4"/>
        <v>13.873093911014482</v>
      </c>
      <c r="D40" s="362">
        <f t="shared" si="0"/>
        <v>0.10404820433260863</v>
      </c>
      <c r="E40" s="630">
        <f t="shared" si="6"/>
        <v>0.72275578908613447</v>
      </c>
      <c r="F40" s="630">
        <f t="shared" si="5"/>
        <v>0.82680399341874311</v>
      </c>
      <c r="G40" s="630">
        <f t="shared" si="3"/>
        <v>13.150338121928348</v>
      </c>
    </row>
    <row r="41" spans="1:9" x14ac:dyDescent="0.2">
      <c r="A41" s="79"/>
      <c r="B41" s="79" t="s">
        <v>80</v>
      </c>
      <c r="C41" s="80">
        <f t="shared" si="4"/>
        <v>13.150338121928348</v>
      </c>
      <c r="D41" s="362">
        <f t="shared" si="0"/>
        <v>9.8627535914462605E-2</v>
      </c>
      <c r="E41" s="630">
        <f t="shared" si="6"/>
        <v>0.72817645750428051</v>
      </c>
      <c r="F41" s="630">
        <f t="shared" si="5"/>
        <v>0.82680399341874311</v>
      </c>
      <c r="G41" s="630">
        <f t="shared" si="3"/>
        <v>12.422161664424067</v>
      </c>
    </row>
    <row r="42" spans="1:9" x14ac:dyDescent="0.2">
      <c r="A42" s="79"/>
      <c r="B42" s="79" t="s">
        <v>81</v>
      </c>
      <c r="C42" s="80">
        <f t="shared" si="4"/>
        <v>12.422161664424067</v>
      </c>
      <c r="D42" s="362">
        <f t="shared" ref="D42:D57" si="7">C42*$D$5/12</f>
        <v>9.3166212483180508E-2</v>
      </c>
      <c r="E42" s="630">
        <f t="shared" si="6"/>
        <v>0.73363778093556264</v>
      </c>
      <c r="F42" s="630">
        <f t="shared" si="5"/>
        <v>0.82680399341874311</v>
      </c>
      <c r="G42" s="630">
        <f t="shared" si="3"/>
        <v>11.688523883488504</v>
      </c>
    </row>
    <row r="43" spans="1:9" x14ac:dyDescent="0.2">
      <c r="A43" s="79"/>
      <c r="B43" s="79" t="s">
        <v>82</v>
      </c>
      <c r="C43" s="80">
        <f t="shared" si="4"/>
        <v>11.688523883488504</v>
      </c>
      <c r="D43" s="362">
        <f t="shared" si="7"/>
        <v>8.7663929126163775E-2</v>
      </c>
      <c r="E43" s="630">
        <f t="shared" si="6"/>
        <v>0.73914006429257939</v>
      </c>
      <c r="F43" s="630">
        <f t="shared" si="5"/>
        <v>0.82680399341874311</v>
      </c>
      <c r="G43" s="630">
        <f t="shared" si="3"/>
        <v>10.949383819195925</v>
      </c>
    </row>
    <row r="44" spans="1:9" x14ac:dyDescent="0.2">
      <c r="A44" s="79"/>
      <c r="B44" s="79" t="s">
        <v>83</v>
      </c>
      <c r="C44" s="80">
        <f t="shared" si="4"/>
        <v>10.949383819195925</v>
      </c>
      <c r="D44" s="362">
        <f t="shared" si="7"/>
        <v>8.2120378643969427E-2</v>
      </c>
      <c r="E44" s="630">
        <f t="shared" si="6"/>
        <v>0.74468361477477374</v>
      </c>
      <c r="F44" s="630">
        <f t="shared" si="5"/>
        <v>0.82680399341874311</v>
      </c>
      <c r="G44" s="630">
        <f t="shared" si="3"/>
        <v>10.204700204421151</v>
      </c>
    </row>
    <row r="45" spans="1:9" x14ac:dyDescent="0.2">
      <c r="A45" s="79"/>
      <c r="B45" s="79" t="s">
        <v>84</v>
      </c>
      <c r="C45" s="80">
        <f t="shared" si="4"/>
        <v>10.204700204421151</v>
      </c>
      <c r="D45" s="362">
        <f t="shared" si="7"/>
        <v>7.6535251533158627E-2</v>
      </c>
      <c r="E45" s="630">
        <f t="shared" si="6"/>
        <v>0.75026874188558446</v>
      </c>
      <c r="F45" s="630">
        <f t="shared" si="5"/>
        <v>0.82680399341874311</v>
      </c>
      <c r="G45" s="630">
        <f t="shared" si="3"/>
        <v>9.4544314625355668</v>
      </c>
      <c r="H45" s="1"/>
      <c r="I45" s="1"/>
    </row>
    <row r="46" spans="1:9" x14ac:dyDescent="0.2">
      <c r="A46" s="79" t="s">
        <v>13</v>
      </c>
      <c r="B46" s="79" t="s">
        <v>85</v>
      </c>
      <c r="C46" s="80">
        <f t="shared" si="4"/>
        <v>9.4544314625355668</v>
      </c>
      <c r="D46" s="362">
        <f t="shared" si="7"/>
        <v>7.0908235969016756E-2</v>
      </c>
      <c r="E46" s="630">
        <f t="shared" si="6"/>
        <v>0.75589575744972637</v>
      </c>
      <c r="F46" s="630">
        <f t="shared" si="5"/>
        <v>0.82680399341874311</v>
      </c>
      <c r="G46" s="630">
        <f t="shared" si="3"/>
        <v>8.6985357050858401</v>
      </c>
    </row>
    <row r="47" spans="1:9" x14ac:dyDescent="0.2">
      <c r="A47" s="79"/>
      <c r="B47" s="79" t="s">
        <v>86</v>
      </c>
      <c r="C47" s="80">
        <f t="shared" si="4"/>
        <v>8.6985357050858401</v>
      </c>
      <c r="D47" s="362">
        <f t="shared" si="7"/>
        <v>6.5239017788143797E-2</v>
      </c>
      <c r="E47" s="630">
        <f t="shared" si="6"/>
        <v>0.76156497563059933</v>
      </c>
      <c r="F47" s="630">
        <f t="shared" si="5"/>
        <v>0.82680399341874311</v>
      </c>
      <c r="G47" s="630">
        <f t="shared" si="3"/>
        <v>7.9369707294552407</v>
      </c>
    </row>
    <row r="48" spans="1:9" x14ac:dyDescent="0.2">
      <c r="A48" s="79"/>
      <c r="B48" s="79" t="s">
        <v>87</v>
      </c>
      <c r="C48" s="80">
        <f t="shared" si="4"/>
        <v>7.9369707294552407</v>
      </c>
      <c r="D48" s="362">
        <f t="shared" si="7"/>
        <v>5.9527280470914302E-2</v>
      </c>
      <c r="E48" s="630">
        <f t="shared" si="6"/>
        <v>0.76727671294782884</v>
      </c>
      <c r="F48" s="630">
        <f t="shared" si="5"/>
        <v>0.82680399341874311</v>
      </c>
      <c r="G48" s="630">
        <f t="shared" si="3"/>
        <v>7.1696940165074121</v>
      </c>
    </row>
    <row r="49" spans="1:9" x14ac:dyDescent="0.2">
      <c r="A49" s="79"/>
      <c r="B49" s="79" t="s">
        <v>88</v>
      </c>
      <c r="C49" s="80">
        <f t="shared" si="4"/>
        <v>7.1696940165074121</v>
      </c>
      <c r="D49" s="362">
        <f t="shared" si="7"/>
        <v>5.3772705123805588E-2</v>
      </c>
      <c r="E49" s="630">
        <f t="shared" si="6"/>
        <v>0.7730312882949375</v>
      </c>
      <c r="F49" s="630">
        <f t="shared" si="5"/>
        <v>0.82680399341874311</v>
      </c>
      <c r="G49" s="630">
        <f t="shared" si="3"/>
        <v>6.3966627282124744</v>
      </c>
    </row>
    <row r="50" spans="1:9" x14ac:dyDescent="0.2">
      <c r="A50" s="79"/>
      <c r="B50" s="79" t="s">
        <v>89</v>
      </c>
      <c r="C50" s="80">
        <f t="shared" si="4"/>
        <v>6.3966627282124744</v>
      </c>
      <c r="D50" s="362">
        <f t="shared" si="7"/>
        <v>4.7974970461593554E-2</v>
      </c>
      <c r="E50" s="630">
        <f t="shared" si="6"/>
        <v>0.77882902295714951</v>
      </c>
      <c r="F50" s="630">
        <f t="shared" si="5"/>
        <v>0.82680399341874311</v>
      </c>
      <c r="G50" s="630">
        <f t="shared" si="3"/>
        <v>5.6178337052553253</v>
      </c>
    </row>
    <row r="51" spans="1:9" x14ac:dyDescent="0.2">
      <c r="A51" s="79"/>
      <c r="B51" s="79" t="s">
        <v>90</v>
      </c>
      <c r="C51" s="80">
        <f t="shared" si="4"/>
        <v>5.6178337052553253</v>
      </c>
      <c r="D51" s="362">
        <f t="shared" si="7"/>
        <v>4.213375278941494E-2</v>
      </c>
      <c r="E51" s="630">
        <f t="shared" si="6"/>
        <v>0.78467024062932822</v>
      </c>
      <c r="F51" s="630">
        <f t="shared" si="5"/>
        <v>0.82680399341874311</v>
      </c>
      <c r="G51" s="630">
        <f t="shared" si="3"/>
        <v>4.8331634646259971</v>
      </c>
    </row>
    <row r="52" spans="1:9" x14ac:dyDescent="0.2">
      <c r="A52" s="79"/>
      <c r="B52" s="79" t="s">
        <v>91</v>
      </c>
      <c r="C52" s="80">
        <f t="shared" si="4"/>
        <v>4.8331634646259971</v>
      </c>
      <c r="D52" s="362">
        <f t="shared" si="7"/>
        <v>3.6248725984694981E-2</v>
      </c>
      <c r="E52" s="630">
        <f t="shared" si="6"/>
        <v>0.79055526743404814</v>
      </c>
      <c r="F52" s="630">
        <f t="shared" si="5"/>
        <v>0.82680399341874311</v>
      </c>
      <c r="G52" s="630">
        <f t="shared" si="3"/>
        <v>4.0426081971919494</v>
      </c>
    </row>
    <row r="53" spans="1:9" x14ac:dyDescent="0.2">
      <c r="A53" s="79"/>
      <c r="B53" s="79" t="s">
        <v>92</v>
      </c>
      <c r="C53" s="80">
        <f t="shared" si="4"/>
        <v>4.0426081971919494</v>
      </c>
      <c r="D53" s="362">
        <f t="shared" si="7"/>
        <v>3.0319561478939619E-2</v>
      </c>
      <c r="E53" s="630">
        <f t="shared" si="6"/>
        <v>0.79648443193980345</v>
      </c>
      <c r="F53" s="630">
        <f t="shared" si="5"/>
        <v>0.82680399341874311</v>
      </c>
      <c r="G53" s="630">
        <f t="shared" si="3"/>
        <v>3.246123765252146</v>
      </c>
    </row>
    <row r="54" spans="1:9" x14ac:dyDescent="0.2">
      <c r="A54" s="79"/>
      <c r="B54" s="79" t="s">
        <v>93</v>
      </c>
      <c r="C54" s="80">
        <f t="shared" si="4"/>
        <v>3.246123765252146</v>
      </c>
      <c r="D54" s="362">
        <f t="shared" si="7"/>
        <v>2.4345928239391093E-2</v>
      </c>
      <c r="E54" s="630">
        <f t="shared" si="6"/>
        <v>0.80245806517935203</v>
      </c>
      <c r="F54" s="630">
        <f t="shared" si="5"/>
        <v>0.82680399341874311</v>
      </c>
      <c r="G54" s="630">
        <f t="shared" si="3"/>
        <v>2.4436657000727937</v>
      </c>
    </row>
    <row r="55" spans="1:9" x14ac:dyDescent="0.2">
      <c r="A55" s="79"/>
      <c r="B55" s="79" t="s">
        <v>94</v>
      </c>
      <c r="C55" s="80">
        <f t="shared" si="4"/>
        <v>2.4436657000727937</v>
      </c>
      <c r="D55" s="362">
        <f t="shared" si="7"/>
        <v>1.8327492750545953E-2</v>
      </c>
      <c r="E55" s="630">
        <f t="shared" si="6"/>
        <v>0.80847650066819721</v>
      </c>
      <c r="F55" s="630">
        <f t="shared" si="5"/>
        <v>0.82680399341874311</v>
      </c>
      <c r="G55" s="630">
        <f t="shared" si="3"/>
        <v>1.6351891994045964</v>
      </c>
    </row>
    <row r="56" spans="1:9" x14ac:dyDescent="0.2">
      <c r="A56" s="79"/>
      <c r="B56" s="79" t="s">
        <v>95</v>
      </c>
      <c r="C56" s="80">
        <f t="shared" si="4"/>
        <v>1.6351891994045964</v>
      </c>
      <c r="D56" s="362">
        <f t="shared" si="7"/>
        <v>1.2263918995534473E-2</v>
      </c>
      <c r="E56" s="630">
        <f t="shared" si="6"/>
        <v>0.81454007442320864</v>
      </c>
      <c r="F56" s="630">
        <f t="shared" si="5"/>
        <v>0.82680399341874311</v>
      </c>
      <c r="G56" s="630">
        <f t="shared" si="3"/>
        <v>0.82064912498138776</v>
      </c>
    </row>
    <row r="57" spans="1:9" x14ac:dyDescent="0.2">
      <c r="A57" s="79"/>
      <c r="B57" s="79" t="s">
        <v>96</v>
      </c>
      <c r="C57" s="80">
        <f t="shared" si="4"/>
        <v>0.82064912498138776</v>
      </c>
      <c r="D57" s="362">
        <f t="shared" si="7"/>
        <v>6.1548684373604083E-3</v>
      </c>
      <c r="E57" s="630">
        <f t="shared" si="6"/>
        <v>0.82064912498138265</v>
      </c>
      <c r="F57" s="630">
        <f t="shared" si="5"/>
        <v>0.82680399341874311</v>
      </c>
      <c r="G57" s="630">
        <f t="shared" si="3"/>
        <v>5.1070259132757201E-15</v>
      </c>
      <c r="H57" s="1"/>
      <c r="I57" s="1"/>
    </row>
    <row r="58" spans="1:9" hidden="1" x14ac:dyDescent="0.2">
      <c r="A58" s="79" t="s">
        <v>14</v>
      </c>
      <c r="B58" s="79" t="s">
        <v>97</v>
      </c>
      <c r="C58" s="80">
        <v>1.9984014443252818E-15</v>
      </c>
      <c r="D58" s="80">
        <v>1.9984014443252818E-15</v>
      </c>
      <c r="E58" s="80">
        <v>1.9984014443252818E-15</v>
      </c>
      <c r="F58" s="80">
        <v>1.9984014443252818E-15</v>
      </c>
      <c r="G58" s="80">
        <v>1.9984014443252818E-15</v>
      </c>
    </row>
    <row r="59" spans="1:9" hidden="1" x14ac:dyDescent="0.2">
      <c r="A59" s="79"/>
      <c r="B59" s="79" t="s">
        <v>98</v>
      </c>
      <c r="C59" s="80">
        <v>1.9984014443252818E-15</v>
      </c>
      <c r="D59" s="80">
        <v>1.9984014443252818E-15</v>
      </c>
      <c r="E59" s="80">
        <v>1.9984014443252818E-15</v>
      </c>
      <c r="F59" s="80">
        <v>1.9984014443252818E-15</v>
      </c>
      <c r="G59" s="80">
        <v>1.9984014443252818E-15</v>
      </c>
    </row>
    <row r="60" spans="1:9" hidden="1" x14ac:dyDescent="0.2">
      <c r="A60" s="79"/>
      <c r="B60" s="79" t="s">
        <v>99</v>
      </c>
      <c r="C60" s="80">
        <v>1.9984014443252818E-15</v>
      </c>
      <c r="D60" s="80">
        <v>1.9984014443252818E-15</v>
      </c>
      <c r="E60" s="80">
        <v>1.9984014443252818E-15</v>
      </c>
      <c r="F60" s="80">
        <v>1.9984014443252818E-15</v>
      </c>
      <c r="G60" s="80">
        <v>1.9984014443252818E-15</v>
      </c>
    </row>
    <row r="61" spans="1:9" hidden="1" x14ac:dyDescent="0.2">
      <c r="A61" s="79"/>
      <c r="B61" s="79" t="s">
        <v>100</v>
      </c>
      <c r="C61" s="80">
        <v>1.9984014443252818E-15</v>
      </c>
      <c r="D61" s="80">
        <v>1.9984014443252818E-15</v>
      </c>
      <c r="E61" s="80">
        <v>1.9984014443252818E-15</v>
      </c>
      <c r="F61" s="80">
        <v>1.9984014443252818E-15</v>
      </c>
      <c r="G61" s="80">
        <v>1.9984014443252818E-15</v>
      </c>
    </row>
    <row r="62" spans="1:9" hidden="1" x14ac:dyDescent="0.2">
      <c r="A62" s="79"/>
      <c r="B62" s="79" t="s">
        <v>101</v>
      </c>
      <c r="C62" s="80">
        <v>1.9984014443252818E-15</v>
      </c>
      <c r="D62" s="80">
        <v>1.9984014443252818E-15</v>
      </c>
      <c r="E62" s="80">
        <v>1.9984014443252818E-15</v>
      </c>
      <c r="F62" s="80">
        <v>1.9984014443252818E-15</v>
      </c>
      <c r="G62" s="80">
        <v>1.9984014443252818E-15</v>
      </c>
    </row>
    <row r="63" spans="1:9" hidden="1" x14ac:dyDescent="0.2">
      <c r="A63" s="79"/>
      <c r="B63" s="79" t="s">
        <v>102</v>
      </c>
      <c r="C63" s="80">
        <v>1.9984014443252818E-15</v>
      </c>
      <c r="D63" s="80">
        <v>1.9984014443252818E-15</v>
      </c>
      <c r="E63" s="80">
        <v>1.9984014443252818E-15</v>
      </c>
      <c r="F63" s="80">
        <v>1.9984014443252818E-15</v>
      </c>
      <c r="G63" s="80">
        <v>1.9984014443252818E-15</v>
      </c>
    </row>
    <row r="64" spans="1:9" hidden="1" x14ac:dyDescent="0.2">
      <c r="A64" s="79"/>
      <c r="B64" s="79" t="s">
        <v>103</v>
      </c>
      <c r="C64" s="80">
        <v>1.9984014443252818E-15</v>
      </c>
      <c r="D64" s="80">
        <v>1.9984014443252818E-15</v>
      </c>
      <c r="E64" s="80">
        <v>1.9984014443252818E-15</v>
      </c>
      <c r="F64" s="80">
        <v>1.9984014443252818E-15</v>
      </c>
      <c r="G64" s="80">
        <v>1.9984014443252818E-15</v>
      </c>
    </row>
    <row r="65" spans="1:9" hidden="1" x14ac:dyDescent="0.2">
      <c r="A65" s="79"/>
      <c r="B65" s="79" t="s">
        <v>104</v>
      </c>
      <c r="C65" s="80">
        <v>1.9984014443252818E-15</v>
      </c>
      <c r="D65" s="80">
        <v>1.9984014443252818E-15</v>
      </c>
      <c r="E65" s="80">
        <v>1.9984014443252818E-15</v>
      </c>
      <c r="F65" s="80">
        <v>1.9984014443252818E-15</v>
      </c>
      <c r="G65" s="80">
        <v>1.9984014443252818E-15</v>
      </c>
    </row>
    <row r="66" spans="1:9" hidden="1" x14ac:dyDescent="0.2">
      <c r="A66" s="79"/>
      <c r="B66" s="79" t="s">
        <v>105</v>
      </c>
      <c r="C66" s="80">
        <v>1.9984014443252818E-15</v>
      </c>
      <c r="D66" s="80">
        <v>1.9984014443252818E-15</v>
      </c>
      <c r="E66" s="80">
        <v>1.9984014443252818E-15</v>
      </c>
      <c r="F66" s="80">
        <v>1.9984014443252818E-15</v>
      </c>
      <c r="G66" s="80">
        <v>1.9984014443252818E-15</v>
      </c>
    </row>
    <row r="67" spans="1:9" hidden="1" x14ac:dyDescent="0.2">
      <c r="A67" s="79"/>
      <c r="B67" s="79" t="s">
        <v>106</v>
      </c>
      <c r="C67" s="80">
        <v>1.9984014443252818E-15</v>
      </c>
      <c r="D67" s="80">
        <v>1.9984014443252818E-15</v>
      </c>
      <c r="E67" s="80">
        <v>1.9984014443252818E-15</v>
      </c>
      <c r="F67" s="80">
        <v>1.9984014443252818E-15</v>
      </c>
      <c r="G67" s="80">
        <v>1.9984014443252818E-15</v>
      </c>
    </row>
    <row r="68" spans="1:9" hidden="1" x14ac:dyDescent="0.2">
      <c r="A68" s="79"/>
      <c r="B68" s="79" t="s">
        <v>107</v>
      </c>
      <c r="C68" s="80">
        <v>1.9984014443252818E-15</v>
      </c>
      <c r="D68" s="80">
        <v>1.9984014443252818E-15</v>
      </c>
      <c r="E68" s="80">
        <v>1.9984014443252818E-15</v>
      </c>
      <c r="F68" s="80">
        <v>1.9984014443252818E-15</v>
      </c>
      <c r="G68" s="80">
        <v>1.9984014443252818E-15</v>
      </c>
    </row>
    <row r="69" spans="1:9" hidden="1" x14ac:dyDescent="0.2">
      <c r="A69" s="79"/>
      <c r="B69" s="79" t="s">
        <v>108</v>
      </c>
      <c r="C69" s="80">
        <v>1.9984014443252818E-15</v>
      </c>
      <c r="D69" s="80">
        <v>1.9984014443252818E-15</v>
      </c>
      <c r="E69" s="80">
        <v>1.9984014443252818E-15</v>
      </c>
      <c r="F69" s="80">
        <v>1.9984014443252818E-15</v>
      </c>
      <c r="G69" s="80">
        <v>1.9984014443252818E-15</v>
      </c>
      <c r="H69" s="1"/>
      <c r="I69" s="1"/>
    </row>
    <row r="70" spans="1:9" hidden="1" x14ac:dyDescent="0.2">
      <c r="A70" s="79" t="s">
        <v>15</v>
      </c>
      <c r="B70" s="79" t="s">
        <v>109</v>
      </c>
      <c r="C70" s="80">
        <v>1.9984014443252818E-15</v>
      </c>
      <c r="D70" s="80">
        <v>1.9984014443252818E-15</v>
      </c>
      <c r="E70" s="80">
        <v>1.9984014443252818E-15</v>
      </c>
      <c r="F70" s="80">
        <v>1.9984014443252818E-15</v>
      </c>
      <c r="G70" s="80">
        <v>1.9984014443252818E-15</v>
      </c>
    </row>
    <row r="71" spans="1:9" hidden="1" x14ac:dyDescent="0.2">
      <c r="A71" s="79"/>
      <c r="B71" s="79" t="s">
        <v>110</v>
      </c>
      <c r="C71" s="80">
        <v>1.9984014443252818E-15</v>
      </c>
      <c r="D71" s="80">
        <v>1.9984014443252818E-15</v>
      </c>
      <c r="E71" s="80">
        <v>1.9984014443252818E-15</v>
      </c>
      <c r="F71" s="80">
        <v>1.9984014443252818E-15</v>
      </c>
      <c r="G71" s="80">
        <v>1.9984014443252818E-15</v>
      </c>
    </row>
    <row r="72" spans="1:9" hidden="1" x14ac:dyDescent="0.2">
      <c r="A72" s="79"/>
      <c r="B72" s="79" t="s">
        <v>111</v>
      </c>
      <c r="C72" s="80">
        <v>1.9984014443252818E-15</v>
      </c>
      <c r="D72" s="80">
        <v>1.9984014443252818E-15</v>
      </c>
      <c r="E72" s="80">
        <v>1.9984014443252818E-15</v>
      </c>
      <c r="F72" s="80">
        <v>1.9984014443252818E-15</v>
      </c>
      <c r="G72" s="80">
        <v>1.9984014443252818E-15</v>
      </c>
    </row>
    <row r="73" spans="1:9" hidden="1" x14ac:dyDescent="0.2">
      <c r="A73" s="79"/>
      <c r="B73" s="79" t="s">
        <v>112</v>
      </c>
      <c r="C73" s="80">
        <v>1.9984014443252818E-15</v>
      </c>
      <c r="D73" s="80">
        <v>1.9984014443252818E-15</v>
      </c>
      <c r="E73" s="80">
        <v>1.9984014443252818E-15</v>
      </c>
      <c r="F73" s="80">
        <v>1.9984014443252818E-15</v>
      </c>
      <c r="G73" s="80">
        <v>1.9984014443252818E-15</v>
      </c>
    </row>
    <row r="74" spans="1:9" hidden="1" x14ac:dyDescent="0.2">
      <c r="A74" s="79"/>
      <c r="B74" s="79" t="s">
        <v>113</v>
      </c>
      <c r="C74" s="80">
        <v>1.9984014443252818E-15</v>
      </c>
      <c r="D74" s="80">
        <v>1.9984014443252818E-15</v>
      </c>
      <c r="E74" s="80">
        <v>1.9984014443252818E-15</v>
      </c>
      <c r="F74" s="80">
        <v>1.9984014443252818E-15</v>
      </c>
      <c r="G74" s="80">
        <v>1.9984014443252818E-15</v>
      </c>
    </row>
    <row r="75" spans="1:9" hidden="1" x14ac:dyDescent="0.2">
      <c r="A75" s="79"/>
      <c r="B75" s="79" t="s">
        <v>114</v>
      </c>
      <c r="C75" s="80">
        <v>1.9984014443252818E-15</v>
      </c>
      <c r="D75" s="80">
        <v>1.9984014443252818E-15</v>
      </c>
      <c r="E75" s="80">
        <v>1.9984014443252818E-15</v>
      </c>
      <c r="F75" s="80">
        <v>1.9984014443252818E-15</v>
      </c>
      <c r="G75" s="80">
        <v>1.9984014443252818E-15</v>
      </c>
    </row>
    <row r="76" spans="1:9" hidden="1" x14ac:dyDescent="0.2">
      <c r="A76" s="79"/>
      <c r="B76" s="79" t="s">
        <v>115</v>
      </c>
      <c r="C76" s="80">
        <v>1.9984014443252818E-15</v>
      </c>
      <c r="D76" s="80">
        <v>1.9984014443252818E-15</v>
      </c>
      <c r="E76" s="80">
        <v>1.9984014443252818E-15</v>
      </c>
      <c r="F76" s="80">
        <v>1.9984014443252818E-15</v>
      </c>
      <c r="G76" s="80">
        <v>1.9984014443252818E-15</v>
      </c>
    </row>
    <row r="77" spans="1:9" hidden="1" x14ac:dyDescent="0.2">
      <c r="A77" s="79"/>
      <c r="B77" s="79" t="s">
        <v>116</v>
      </c>
      <c r="C77" s="80">
        <v>1.9984014443252818E-15</v>
      </c>
      <c r="D77" s="80">
        <v>1.9984014443252818E-15</v>
      </c>
      <c r="E77" s="80">
        <v>1.9984014443252818E-15</v>
      </c>
      <c r="F77" s="80">
        <v>1.9984014443252818E-15</v>
      </c>
      <c r="G77" s="80">
        <v>1.9984014443252818E-15</v>
      </c>
    </row>
    <row r="78" spans="1:9" hidden="1" x14ac:dyDescent="0.2">
      <c r="A78" s="79"/>
      <c r="B78" s="79" t="s">
        <v>117</v>
      </c>
      <c r="C78" s="80">
        <v>1.9984014443252818E-15</v>
      </c>
      <c r="D78" s="80">
        <v>1.9984014443252818E-15</v>
      </c>
      <c r="E78" s="80">
        <v>1.9984014443252818E-15</v>
      </c>
      <c r="F78" s="80">
        <v>1.9984014443252818E-15</v>
      </c>
      <c r="G78" s="80">
        <v>1.9984014443252818E-15</v>
      </c>
    </row>
    <row r="79" spans="1:9" hidden="1" x14ac:dyDescent="0.2">
      <c r="A79" s="79"/>
      <c r="B79" s="79" t="s">
        <v>118</v>
      </c>
      <c r="C79" s="80">
        <v>1.9984014443252818E-15</v>
      </c>
      <c r="D79" s="80">
        <v>1.9984014443252818E-15</v>
      </c>
      <c r="E79" s="80">
        <v>1.9984014443252818E-15</v>
      </c>
      <c r="F79" s="80">
        <v>1.9984014443252818E-15</v>
      </c>
      <c r="G79" s="80">
        <v>1.9984014443252818E-15</v>
      </c>
    </row>
    <row r="80" spans="1:9" hidden="1" x14ac:dyDescent="0.2">
      <c r="A80" s="79"/>
      <c r="B80" s="79" t="s">
        <v>119</v>
      </c>
      <c r="C80" s="80">
        <v>1.9984014443252818E-15</v>
      </c>
      <c r="D80" s="80">
        <v>1.9984014443252818E-15</v>
      </c>
      <c r="E80" s="80">
        <v>1.9984014443252818E-15</v>
      </c>
      <c r="F80" s="80">
        <v>1.9984014443252818E-15</v>
      </c>
      <c r="G80" s="80">
        <v>1.9984014443252818E-15</v>
      </c>
    </row>
    <row r="81" spans="1:9" hidden="1" x14ac:dyDescent="0.2">
      <c r="A81" s="79"/>
      <c r="B81" s="79" t="s">
        <v>120</v>
      </c>
      <c r="C81" s="80">
        <v>1.9984014443252818E-15</v>
      </c>
      <c r="D81" s="80">
        <v>1.9984014443252818E-15</v>
      </c>
      <c r="E81" s="80">
        <v>1.9984014443252818E-15</v>
      </c>
      <c r="F81" s="80">
        <v>1.9984014443252818E-15</v>
      </c>
      <c r="G81" s="80">
        <v>1.9984014443252818E-15</v>
      </c>
      <c r="H81" s="1"/>
      <c r="I81" s="1"/>
    </row>
    <row r="82" spans="1:9" hidden="1" x14ac:dyDescent="0.2">
      <c r="A82" s="79" t="s">
        <v>270</v>
      </c>
      <c r="B82" s="79" t="s">
        <v>206</v>
      </c>
      <c r="C82" s="80">
        <v>1.9984014443252818E-15</v>
      </c>
      <c r="D82" s="80">
        <v>1.9984014443252818E-15</v>
      </c>
      <c r="E82" s="80">
        <v>1.9984014443252818E-15</v>
      </c>
      <c r="F82" s="80">
        <v>1.9984014443252818E-15</v>
      </c>
      <c r="G82" s="80">
        <v>1.9984014443252818E-15</v>
      </c>
    </row>
    <row r="83" spans="1:9" hidden="1" x14ac:dyDescent="0.2">
      <c r="A83" s="79"/>
      <c r="B83" s="79" t="s">
        <v>207</v>
      </c>
      <c r="C83" s="80">
        <v>1.9984014443252818E-15</v>
      </c>
      <c r="D83" s="80">
        <v>1.9984014443252818E-15</v>
      </c>
      <c r="E83" s="80">
        <v>1.9984014443252818E-15</v>
      </c>
      <c r="F83" s="80">
        <v>1.9984014443252818E-15</v>
      </c>
      <c r="G83" s="80">
        <v>1.9984014443252818E-15</v>
      </c>
    </row>
    <row r="84" spans="1:9" hidden="1" x14ac:dyDescent="0.2">
      <c r="A84" s="79"/>
      <c r="B84" s="79" t="s">
        <v>208</v>
      </c>
      <c r="C84" s="80">
        <v>1.9984014443252818E-15</v>
      </c>
      <c r="D84" s="80">
        <v>1.9984014443252818E-15</v>
      </c>
      <c r="E84" s="80">
        <v>1.9984014443252818E-15</v>
      </c>
      <c r="F84" s="80">
        <v>1.9984014443252818E-15</v>
      </c>
      <c r="G84" s="80">
        <v>1.9984014443252818E-15</v>
      </c>
    </row>
    <row r="85" spans="1:9" hidden="1" x14ac:dyDescent="0.2">
      <c r="A85" s="79"/>
      <c r="B85" s="79" t="s">
        <v>209</v>
      </c>
      <c r="C85" s="80">
        <v>1.9984014443252818E-15</v>
      </c>
      <c r="D85" s="80">
        <v>1.9984014443252818E-15</v>
      </c>
      <c r="E85" s="80">
        <v>1.9984014443252818E-15</v>
      </c>
      <c r="F85" s="80">
        <v>1.9984014443252818E-15</v>
      </c>
      <c r="G85" s="80">
        <v>1.9984014443252818E-15</v>
      </c>
    </row>
    <row r="86" spans="1:9" hidden="1" x14ac:dyDescent="0.2">
      <c r="A86" s="79"/>
      <c r="B86" s="79" t="s">
        <v>210</v>
      </c>
      <c r="C86" s="80">
        <v>1.9984014443252818E-15</v>
      </c>
      <c r="D86" s="80">
        <v>1.9984014443252818E-15</v>
      </c>
      <c r="E86" s="80">
        <v>1.9984014443252818E-15</v>
      </c>
      <c r="F86" s="80">
        <v>1.9984014443252818E-15</v>
      </c>
      <c r="G86" s="80">
        <v>1.9984014443252818E-15</v>
      </c>
    </row>
    <row r="87" spans="1:9" hidden="1" x14ac:dyDescent="0.2">
      <c r="A87" s="79"/>
      <c r="B87" s="79" t="s">
        <v>211</v>
      </c>
      <c r="C87" s="80">
        <v>1.9984014443252818E-15</v>
      </c>
      <c r="D87" s="80">
        <v>1.9984014443252818E-15</v>
      </c>
      <c r="E87" s="80">
        <v>1.9984014443252818E-15</v>
      </c>
      <c r="F87" s="80">
        <v>1.9984014443252818E-15</v>
      </c>
      <c r="G87" s="80">
        <v>1.9984014443252818E-15</v>
      </c>
    </row>
    <row r="88" spans="1:9" hidden="1" x14ac:dyDescent="0.2">
      <c r="A88" s="79"/>
      <c r="B88" s="79" t="s">
        <v>212</v>
      </c>
      <c r="C88" s="80">
        <v>1.9984014443252818E-15</v>
      </c>
      <c r="D88" s="80">
        <v>1.9984014443252818E-15</v>
      </c>
      <c r="E88" s="80">
        <v>1.9984014443252818E-15</v>
      </c>
      <c r="F88" s="80">
        <v>1.9984014443252818E-15</v>
      </c>
      <c r="G88" s="80">
        <v>1.9984014443252818E-15</v>
      </c>
    </row>
    <row r="89" spans="1:9" hidden="1" x14ac:dyDescent="0.2">
      <c r="A89" s="79"/>
      <c r="B89" s="79" t="s">
        <v>213</v>
      </c>
      <c r="C89" s="80">
        <v>1.9984014443252818E-15</v>
      </c>
      <c r="D89" s="80">
        <v>1.9984014443252818E-15</v>
      </c>
      <c r="E89" s="80">
        <v>1.9984014443252818E-15</v>
      </c>
      <c r="F89" s="80">
        <v>1.9984014443252818E-15</v>
      </c>
      <c r="G89" s="80">
        <v>1.9984014443252818E-15</v>
      </c>
    </row>
    <row r="90" spans="1:9" hidden="1" x14ac:dyDescent="0.2">
      <c r="A90" s="79"/>
      <c r="B90" s="79" t="s">
        <v>214</v>
      </c>
      <c r="C90" s="80">
        <v>1.9984014443252818E-15</v>
      </c>
      <c r="D90" s="80">
        <v>1.9984014443252818E-15</v>
      </c>
      <c r="E90" s="80">
        <v>1.9984014443252818E-15</v>
      </c>
      <c r="F90" s="80">
        <v>1.9984014443252818E-15</v>
      </c>
      <c r="G90" s="80">
        <v>1.9984014443252818E-15</v>
      </c>
    </row>
    <row r="91" spans="1:9" hidden="1" x14ac:dyDescent="0.2">
      <c r="A91" s="79"/>
      <c r="B91" s="79" t="s">
        <v>215</v>
      </c>
      <c r="C91" s="80">
        <v>1.9984014443252818E-15</v>
      </c>
      <c r="D91" s="80">
        <v>1.9984014443252818E-15</v>
      </c>
      <c r="E91" s="80">
        <v>1.9984014443252818E-15</v>
      </c>
      <c r="F91" s="80">
        <v>1.9984014443252818E-15</v>
      </c>
      <c r="G91" s="80">
        <v>1.9984014443252818E-15</v>
      </c>
    </row>
    <row r="92" spans="1:9" hidden="1" x14ac:dyDescent="0.2">
      <c r="A92" s="79"/>
      <c r="B92" s="79" t="s">
        <v>216</v>
      </c>
      <c r="C92" s="80">
        <v>1.9984014443252818E-15</v>
      </c>
      <c r="D92" s="80">
        <v>1.9984014443252818E-15</v>
      </c>
      <c r="E92" s="80">
        <v>1.9984014443252818E-15</v>
      </c>
      <c r="F92" s="80">
        <v>1.9984014443252818E-15</v>
      </c>
      <c r="G92" s="80">
        <v>1.9984014443252818E-15</v>
      </c>
    </row>
    <row r="93" spans="1:9" hidden="1" x14ac:dyDescent="0.2">
      <c r="A93" s="79"/>
      <c r="B93" s="79" t="s">
        <v>217</v>
      </c>
      <c r="C93" s="80">
        <v>1.9984014443252818E-15</v>
      </c>
      <c r="D93" s="80">
        <v>1.9984014443252818E-15</v>
      </c>
      <c r="E93" s="80">
        <v>1.9984014443252818E-15</v>
      </c>
      <c r="F93" s="80">
        <v>1.9984014443252818E-15</v>
      </c>
      <c r="G93" s="80">
        <v>1.9984014443252818E-15</v>
      </c>
    </row>
    <row r="94" spans="1:9" x14ac:dyDescent="0.2">
      <c r="A94" s="78"/>
      <c r="B94" s="78"/>
      <c r="C94" s="78"/>
      <c r="D94" s="87">
        <f>SUM(D10:D93)</f>
        <v>6.3683787685872764</v>
      </c>
      <c r="E94" s="87">
        <f>SUM(E10:E93)</f>
        <v>29.693601000000129</v>
      </c>
      <c r="F94" s="640"/>
      <c r="G94" s="78"/>
    </row>
    <row r="95" spans="1:9" ht="39.950000000000003" customHeight="1" x14ac:dyDescent="0.2">
      <c r="A95" s="721" t="s">
        <v>401</v>
      </c>
      <c r="B95" s="721"/>
      <c r="C95" s="721"/>
      <c r="D95" s="721"/>
      <c r="E95" s="721"/>
      <c r="F95" s="721"/>
      <c r="G95" s="721"/>
      <c r="H95" s="721"/>
    </row>
    <row r="96" spans="1:9" x14ac:dyDescent="0.2">
      <c r="A96" t="s">
        <v>486</v>
      </c>
    </row>
    <row r="97" spans="1:2" x14ac:dyDescent="0.2">
      <c r="A97">
        <v>1</v>
      </c>
      <c r="B97" t="s">
        <v>487</v>
      </c>
    </row>
    <row r="98" spans="1:2" x14ac:dyDescent="0.2">
      <c r="A98">
        <v>2</v>
      </c>
      <c r="B98" t="s">
        <v>488</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82"/>
  <sheetViews>
    <sheetView view="pageBreakPreview" topLeftCell="A17" zoomScale="55" zoomScaleSheetLayoutView="55" workbookViewId="0" xr3:uid="{78B4E459-6924-5F8B-B7BA-2DD04133E49E}">
      <selection activeCell="E52" sqref="E52"/>
    </sheetView>
  </sheetViews>
  <sheetFormatPr defaultRowHeight="15" x14ac:dyDescent="0.2"/>
  <cols>
    <col min="1" max="1" width="3.765625" customWidth="1"/>
    <col min="2" max="2" width="7.53125" bestFit="1" customWidth="1"/>
    <col min="3" max="3" width="30.53515625" customWidth="1"/>
    <col min="4" max="4" width="10.89453125" customWidth="1"/>
    <col min="5" max="11" width="12.375" customWidth="1"/>
    <col min="14" max="14" width="23.9453125" hidden="1" customWidth="1"/>
    <col min="15" max="15" width="11.8359375" hidden="1" customWidth="1"/>
    <col min="16" max="16" width="9.55078125" hidden="1" customWidth="1"/>
    <col min="17" max="17" width="10.89453125" hidden="1" customWidth="1"/>
    <col min="18" max="18" width="11.296875" hidden="1" customWidth="1"/>
    <col min="19" max="20" width="0" hidden="1" customWidth="1"/>
    <col min="21" max="21" width="23.9453125" hidden="1" customWidth="1"/>
    <col min="22" max="22" width="12.5078125" hidden="1" customWidth="1"/>
    <col min="23" max="23" width="0" hidden="1" customWidth="1"/>
  </cols>
  <sheetData>
    <row r="2" spans="3:22" ht="18" x14ac:dyDescent="0.2">
      <c r="C2" s="704" t="s">
        <v>802</v>
      </c>
      <c r="D2" s="704"/>
      <c r="E2" s="704"/>
      <c r="F2" s="704"/>
      <c r="G2" s="704"/>
      <c r="H2" s="704"/>
      <c r="I2" s="704"/>
      <c r="J2" s="704"/>
      <c r="K2" s="704"/>
      <c r="L2" s="172"/>
    </row>
    <row r="4" spans="3:22" x14ac:dyDescent="0.2">
      <c r="C4" s="69" t="s">
        <v>0</v>
      </c>
      <c r="D4" s="69" t="s">
        <v>800</v>
      </c>
      <c r="E4" s="70" t="s">
        <v>2</v>
      </c>
      <c r="F4" s="70" t="s">
        <v>3</v>
      </c>
      <c r="G4" s="70" t="s">
        <v>4</v>
      </c>
      <c r="H4" s="70" t="s">
        <v>5</v>
      </c>
      <c r="I4" s="70" t="s">
        <v>6</v>
      </c>
      <c r="J4" s="70" t="s">
        <v>163</v>
      </c>
      <c r="K4" s="70" t="s">
        <v>162</v>
      </c>
      <c r="L4" s="78"/>
      <c r="M4" s="78"/>
      <c r="N4" s="209"/>
      <c r="O4" s="209"/>
      <c r="P4" s="209"/>
      <c r="Q4" s="209"/>
      <c r="R4" s="209"/>
      <c r="S4" s="209"/>
      <c r="T4" s="209"/>
      <c r="U4" s="209"/>
      <c r="V4" s="209"/>
    </row>
    <row r="5" spans="3:22" x14ac:dyDescent="0.2">
      <c r="C5" s="79" t="s">
        <v>354</v>
      </c>
      <c r="D5" s="79"/>
      <c r="E5" s="79"/>
      <c r="F5" s="79"/>
      <c r="G5" s="79"/>
      <c r="H5" s="79"/>
      <c r="I5" s="79"/>
      <c r="J5" s="79"/>
      <c r="K5" s="79"/>
      <c r="L5" s="78"/>
      <c r="M5" s="78"/>
      <c r="N5" s="722" t="s">
        <v>483</v>
      </c>
      <c r="O5" s="722"/>
      <c r="P5" s="722"/>
      <c r="Q5" s="722"/>
      <c r="R5" s="722"/>
      <c r="S5" s="209"/>
      <c r="T5" s="209"/>
      <c r="U5" s="722" t="s">
        <v>484</v>
      </c>
      <c r="V5" s="722"/>
    </row>
    <row r="6" spans="3:22" x14ac:dyDescent="0.2">
      <c r="C6" s="79" t="s">
        <v>355</v>
      </c>
      <c r="D6" s="152"/>
      <c r="E6" s="79"/>
      <c r="F6" s="80">
        <v>0</v>
      </c>
      <c r="G6" s="80">
        <v>0</v>
      </c>
      <c r="H6" s="80">
        <v>0</v>
      </c>
      <c r="I6" s="80">
        <v>0</v>
      </c>
      <c r="J6" s="80">
        <v>0</v>
      </c>
      <c r="K6" s="80">
        <v>0</v>
      </c>
      <c r="L6" s="78"/>
      <c r="M6" s="78"/>
      <c r="N6" s="729" t="s">
        <v>485</v>
      </c>
      <c r="O6" s="729"/>
      <c r="P6" s="729"/>
      <c r="Q6" s="729"/>
      <c r="R6" s="729"/>
      <c r="S6" s="209"/>
      <c r="T6" s="209"/>
      <c r="U6" s="729" t="s">
        <v>485</v>
      </c>
      <c r="V6" s="729"/>
    </row>
    <row r="7" spans="3:22" x14ac:dyDescent="0.2">
      <c r="C7" s="79" t="s">
        <v>439</v>
      </c>
      <c r="D7" s="152"/>
      <c r="E7" s="79"/>
      <c r="F7" s="362">
        <v>0</v>
      </c>
      <c r="G7" s="362">
        <v>0</v>
      </c>
      <c r="H7" s="362">
        <v>0</v>
      </c>
      <c r="I7" s="362">
        <v>0</v>
      </c>
      <c r="J7" s="362">
        <v>0</v>
      </c>
      <c r="K7" s="362">
        <v>0</v>
      </c>
      <c r="L7" s="78"/>
      <c r="M7" s="78"/>
      <c r="N7" s="210" t="s">
        <v>0</v>
      </c>
      <c r="O7" s="210" t="s">
        <v>158</v>
      </c>
      <c r="P7" s="210" t="s">
        <v>159</v>
      </c>
      <c r="Q7" s="210" t="s">
        <v>305</v>
      </c>
      <c r="R7" s="210" t="s">
        <v>306</v>
      </c>
      <c r="S7" s="209"/>
      <c r="T7" s="209"/>
      <c r="U7" s="288" t="s">
        <v>0</v>
      </c>
      <c r="V7" s="288" t="s">
        <v>465</v>
      </c>
    </row>
    <row r="8" spans="3:22" x14ac:dyDescent="0.2">
      <c r="C8" s="79" t="s">
        <v>903</v>
      </c>
      <c r="D8" s="152"/>
      <c r="E8" s="79"/>
      <c r="F8" s="362">
        <f t="shared" ref="F8:K9" si="0">E17</f>
        <v>0</v>
      </c>
      <c r="G8" s="362">
        <f t="shared" si="0"/>
        <v>0</v>
      </c>
      <c r="H8" s="362">
        <f t="shared" si="0"/>
        <v>0</v>
      </c>
      <c r="I8" s="362">
        <f t="shared" si="0"/>
        <v>0</v>
      </c>
      <c r="J8" s="362">
        <f t="shared" si="0"/>
        <v>0</v>
      </c>
      <c r="K8" s="362">
        <f t="shared" si="0"/>
        <v>0</v>
      </c>
      <c r="L8" s="78"/>
      <c r="M8" s="78"/>
      <c r="N8" s="211" t="s">
        <v>356</v>
      </c>
      <c r="O8" s="211">
        <f>'17.Facility 6 Horti Processing '!C152</f>
        <v>0</v>
      </c>
      <c r="P8" s="211">
        <f>'17.Facility 6 Horti Processing '!C153</f>
        <v>0</v>
      </c>
      <c r="Q8" s="211">
        <f>'17.Facility 6 Horti Processing '!C154</f>
        <v>150</v>
      </c>
      <c r="R8" s="211">
        <f>'17.Facility 6 Horti Processing '!C155</f>
        <v>40</v>
      </c>
      <c r="S8" s="209"/>
      <c r="T8" s="209"/>
      <c r="U8" s="211" t="s">
        <v>331</v>
      </c>
      <c r="V8" s="211" t="str">
        <f>'13.Facility 2 Grain Processing-'!C94</f>
        <v>As per Purchase Schedule</v>
      </c>
    </row>
    <row r="9" spans="3:22" x14ac:dyDescent="0.2">
      <c r="C9" s="79" t="str">
        <f>C18</f>
        <v xml:space="preserve">Grain Processing </v>
      </c>
      <c r="D9" s="79"/>
      <c r="E9" s="79"/>
      <c r="F9" s="362">
        <f>E18</f>
        <v>9.395543981481481</v>
      </c>
      <c r="G9" s="362">
        <f t="shared" si="0"/>
        <v>16.380981481481481</v>
      </c>
      <c r="H9" s="362">
        <f t="shared" si="0"/>
        <v>24.865874999999999</v>
      </c>
      <c r="I9" s="362">
        <f t="shared" si="0"/>
        <v>34.993012962962965</v>
      </c>
      <c r="J9" s="362">
        <f t="shared" si="0"/>
        <v>46.721210185185171</v>
      </c>
      <c r="K9" s="362">
        <f t="shared" si="0"/>
        <v>60.268525925925914</v>
      </c>
      <c r="L9" s="78"/>
      <c r="M9" s="78"/>
      <c r="N9" s="211" t="str">
        <f>'17.Facility 6 Horti Processing '!A156</f>
        <v>Pomegranate Powder</v>
      </c>
      <c r="O9" s="211" t="e">
        <f>('17.Facility 6 Horti Processing '!B156*'17.Facility 6 Horti Processing '!C156/1000)*100</f>
        <v>#VALUE!</v>
      </c>
      <c r="P9" s="211" t="e">
        <f>O9</f>
        <v>#VALUE!</v>
      </c>
      <c r="Q9" s="211" t="e">
        <f t="shared" ref="Q9:R9" si="1">P9</f>
        <v>#VALUE!</v>
      </c>
      <c r="R9" s="211" t="e">
        <f t="shared" si="1"/>
        <v>#VALUE!</v>
      </c>
      <c r="S9" s="209"/>
      <c r="T9" s="209"/>
      <c r="U9" s="211" t="e">
        <f>'13.Facility 2 Grain Processing-'!#REF!</f>
        <v>#REF!</v>
      </c>
      <c r="V9" s="212" t="e">
        <f>'13.Facility 2 Grain Processing-'!#REF!</f>
        <v>#REF!</v>
      </c>
    </row>
    <row r="10" spans="3:22" x14ac:dyDescent="0.2">
      <c r="C10" s="79"/>
      <c r="D10" s="79"/>
      <c r="E10" s="79"/>
      <c r="F10" s="362"/>
      <c r="G10" s="362"/>
      <c r="H10" s="362"/>
      <c r="I10" s="362"/>
      <c r="J10" s="362"/>
      <c r="K10" s="362"/>
      <c r="L10" s="78"/>
      <c r="M10" s="78"/>
      <c r="N10" s="211">
        <f>'17.Facility 6 Horti Processing '!A157</f>
        <v>0</v>
      </c>
      <c r="O10" s="213">
        <f>('17.Facility 6 Horti Processing '!B157*'17.Facility 6 Horti Processing '!C157)/('17.Facility 6 Horti Processing '!B5*'17.Facility 6 Horti Processing '!B6)</f>
        <v>0</v>
      </c>
      <c r="P10" s="213">
        <f>O10</f>
        <v>0</v>
      </c>
      <c r="Q10" s="213">
        <f t="shared" ref="Q10:R10" si="2">P10</f>
        <v>0</v>
      </c>
      <c r="R10" s="213">
        <f t="shared" si="2"/>
        <v>0</v>
      </c>
      <c r="S10" s="209"/>
      <c r="T10" s="209"/>
      <c r="U10" s="211" t="str">
        <f>'13.Facility 2 Grain Processing-'!A95</f>
        <v xml:space="preserve">Daily Labour </v>
      </c>
      <c r="V10" s="212" t="e">
        <f>'13.Facility 2 Grain Processing-'!B95*'13.Facility 2 Grain Processing-'!C95/('13.Facility 2 Grain Processing-'!B7*'13.Facility 2 Grain Processing-'!B8)</f>
        <v>#VALUE!</v>
      </c>
    </row>
    <row r="11" spans="3:22" x14ac:dyDescent="0.2">
      <c r="C11" s="79"/>
      <c r="D11" s="79"/>
      <c r="E11" s="79"/>
      <c r="F11" s="362"/>
      <c r="G11" s="362"/>
      <c r="H11" s="362"/>
      <c r="I11" s="362"/>
      <c r="J11" s="362"/>
      <c r="K11" s="362"/>
      <c r="L11" s="78"/>
      <c r="M11" s="78"/>
      <c r="N11" s="211">
        <f>'17.Facility 6 Horti Processing '!A158</f>
        <v>0</v>
      </c>
      <c r="O11" s="213">
        <f>('17.Facility 6 Horti Processing '!B158*'17.Facility 6 Horti Processing '!C158)/('17.Facility 6 Horti Processing '!B5*'17.Facility 6 Horti Processing '!B6)</f>
        <v>0</v>
      </c>
      <c r="P11" s="213">
        <f>O11</f>
        <v>0</v>
      </c>
      <c r="Q11" s="213">
        <f t="shared" ref="Q11" si="3">P11</f>
        <v>0</v>
      </c>
      <c r="R11" s="213">
        <f t="shared" ref="R11" si="4">Q11</f>
        <v>0</v>
      </c>
      <c r="S11" s="209"/>
      <c r="T11" s="209"/>
      <c r="U11" s="211" t="str">
        <f>'13.Facility 2 Grain Processing-'!A96</f>
        <v>Electricity Charges</v>
      </c>
      <c r="V11" s="211" t="e">
        <f>'13.Facility 2 Grain Processing-'!B96*'13.Facility 2 Grain Processing-'!C96/('13.Facility 2 Grain Processing-'!B7*'13.Facility 2 Grain Processing-'!B8)</f>
        <v>#VALUE!</v>
      </c>
    </row>
    <row r="12" spans="3:22" x14ac:dyDescent="0.2">
      <c r="C12" s="79" t="s">
        <v>1</v>
      </c>
      <c r="D12" s="79"/>
      <c r="E12" s="80"/>
      <c r="F12" s="362">
        <f t="shared" ref="F12:K12" si="5">SUM(F6:F11)</f>
        <v>9.395543981481481</v>
      </c>
      <c r="G12" s="362">
        <f t="shared" si="5"/>
        <v>16.380981481481481</v>
      </c>
      <c r="H12" s="362">
        <f t="shared" si="5"/>
        <v>24.865874999999999</v>
      </c>
      <c r="I12" s="362">
        <f t="shared" si="5"/>
        <v>34.993012962962965</v>
      </c>
      <c r="J12" s="362">
        <f t="shared" si="5"/>
        <v>46.721210185185171</v>
      </c>
      <c r="K12" s="362">
        <f t="shared" si="5"/>
        <v>60.268525925925914</v>
      </c>
      <c r="L12" s="78"/>
      <c r="M12" s="78"/>
      <c r="N12" s="211" t="str">
        <f>'17.Facility 6 Horti Processing '!A159</f>
        <v>Revenue</v>
      </c>
      <c r="O12" s="211">
        <f>'17.Facility 6 Horti Processing '!C159*2</f>
        <v>0</v>
      </c>
      <c r="P12" s="211">
        <f>O12</f>
        <v>0</v>
      </c>
      <c r="Q12" s="211">
        <f t="shared" ref="Q12:R13" si="6">P12</f>
        <v>0</v>
      </c>
      <c r="R12" s="211">
        <f t="shared" si="6"/>
        <v>0</v>
      </c>
      <c r="S12" s="209"/>
      <c r="T12" s="209"/>
      <c r="U12" s="211" t="str">
        <f>'13.Facility 2 Grain Processing-'!A101</f>
        <v>Repairs &amp; Maintainence</v>
      </c>
      <c r="V12" s="211">
        <f>'13.Facility 2 Grain Processing-'!C101</f>
        <v>300</v>
      </c>
    </row>
    <row r="13" spans="3:22" x14ac:dyDescent="0.2">
      <c r="C13" s="79"/>
      <c r="D13" s="79"/>
      <c r="E13" s="79"/>
      <c r="F13" s="362"/>
      <c r="G13" s="362"/>
      <c r="H13" s="362"/>
      <c r="I13" s="362"/>
      <c r="J13" s="362"/>
      <c r="K13" s="362"/>
      <c r="L13" s="78"/>
      <c r="M13" s="78"/>
      <c r="N13" s="211">
        <f>'17.Facility 6 Horti Processing '!A160</f>
        <v>0</v>
      </c>
      <c r="O13" s="211">
        <f>'17.Facility 6 Horti Processing '!C160*2</f>
        <v>0</v>
      </c>
      <c r="P13" s="211">
        <f>O13</f>
        <v>0</v>
      </c>
      <c r="Q13" s="211">
        <f t="shared" si="6"/>
        <v>0</v>
      </c>
      <c r="R13" s="211">
        <f t="shared" si="6"/>
        <v>0</v>
      </c>
      <c r="S13" s="209"/>
      <c r="T13" s="209"/>
      <c r="U13" s="211" t="str">
        <f>'13.Facility 2 Grain Processing-'!A102</f>
        <v>Selling &amp; Dist Exp</v>
      </c>
      <c r="V13" s="10">
        <f>'13.Facility 2 Grain Processing-'!C102*100</f>
        <v>15900</v>
      </c>
    </row>
    <row r="14" spans="3:22" x14ac:dyDescent="0.2">
      <c r="C14" s="81" t="s">
        <v>333</v>
      </c>
      <c r="D14" s="79"/>
      <c r="E14" s="79"/>
      <c r="F14" s="362"/>
      <c r="G14" s="362"/>
      <c r="H14" s="362"/>
      <c r="I14" s="362"/>
      <c r="J14" s="362"/>
      <c r="K14" s="362"/>
      <c r="L14" s="78"/>
      <c r="M14" s="78"/>
      <c r="N14" s="211"/>
      <c r="O14" s="10"/>
      <c r="P14" s="10"/>
      <c r="Q14" s="10"/>
      <c r="R14" s="10"/>
      <c r="S14" s="209"/>
      <c r="T14" s="209"/>
      <c r="U14" s="10"/>
      <c r="V14" s="10"/>
    </row>
    <row r="15" spans="3:22" x14ac:dyDescent="0.2">
      <c r="C15" s="79" t="str">
        <f>C6</f>
        <v>Agri Input</v>
      </c>
      <c r="D15" s="483">
        <v>15</v>
      </c>
      <c r="E15" s="80">
        <v>0</v>
      </c>
      <c r="F15" s="362">
        <v>0</v>
      </c>
      <c r="G15" s="362">
        <v>0</v>
      </c>
      <c r="H15" s="362">
        <v>0</v>
      </c>
      <c r="I15" s="362">
        <v>0</v>
      </c>
      <c r="J15" s="362">
        <v>0</v>
      </c>
      <c r="K15" s="362">
        <v>0</v>
      </c>
      <c r="L15" s="78"/>
      <c r="M15" s="78"/>
      <c r="N15" s="10"/>
      <c r="O15" s="10"/>
      <c r="P15" s="10"/>
      <c r="Q15" s="10"/>
      <c r="R15" s="10"/>
      <c r="U15" s="10"/>
      <c r="V15" s="10"/>
    </row>
    <row r="16" spans="3:22" x14ac:dyDescent="0.2">
      <c r="C16" s="79" t="str">
        <f>C7</f>
        <v>Trading</v>
      </c>
      <c r="D16" s="483">
        <v>15</v>
      </c>
      <c r="E16" s="80">
        <v>0</v>
      </c>
      <c r="F16" s="362">
        <v>0</v>
      </c>
      <c r="G16" s="362">
        <v>0</v>
      </c>
      <c r="H16" s="362">
        <v>0</v>
      </c>
      <c r="I16" s="362">
        <v>0</v>
      </c>
      <c r="J16" s="362">
        <v>0</v>
      </c>
      <c r="K16" s="362">
        <v>0</v>
      </c>
      <c r="L16" s="78"/>
      <c r="M16" s="78"/>
      <c r="N16" s="210" t="s">
        <v>357</v>
      </c>
      <c r="O16" s="214" t="e">
        <f>SUM(O8:O13)</f>
        <v>#VALUE!</v>
      </c>
      <c r="P16" s="214" t="e">
        <f>SUM(P8:P13)</f>
        <v>#VALUE!</v>
      </c>
      <c r="Q16" s="214" t="e">
        <f>SUM(Q8:Q13)</f>
        <v>#VALUE!</v>
      </c>
      <c r="R16" s="214" t="e">
        <f>SUM(R8:R13)</f>
        <v>#VALUE!</v>
      </c>
      <c r="U16" s="210" t="s">
        <v>1</v>
      </c>
      <c r="V16" s="214" t="e">
        <f>SUM(V8:V15)</f>
        <v>#REF!</v>
      </c>
    </row>
    <row r="17" spans="1:18" x14ac:dyDescent="0.2">
      <c r="C17" s="79" t="str">
        <f>C8</f>
        <v xml:space="preserve">Horticulture  Processing </v>
      </c>
      <c r="D17" s="483">
        <v>15</v>
      </c>
      <c r="E17" s="80">
        <f>SUM('17.Facility 6 Horti Processing '!D152:D160)*$D$17</f>
        <v>0</v>
      </c>
      <c r="F17" s="362">
        <f>SUM('17.Facility 6 Horti Processing '!E152:E160)*$D$17</f>
        <v>0</v>
      </c>
      <c r="G17" s="362">
        <f>SUM('17.Facility 6 Horti Processing '!F152:F160)*$D$17</f>
        <v>0</v>
      </c>
      <c r="H17" s="362">
        <f>SUM('17.Facility 6 Horti Processing '!G152:G160)*$D$17</f>
        <v>0</v>
      </c>
      <c r="I17" s="362">
        <f>SUM('17.Facility 6 Horti Processing '!H152:H160)*$D$17</f>
        <v>0</v>
      </c>
      <c r="J17" s="362">
        <f>SUM('17.Facility 6 Horti Processing '!I152:I160)*$D$17</f>
        <v>0</v>
      </c>
      <c r="K17" s="362">
        <f>SUM('17.Facility 6 Horti Processing '!J152:J160)*$D$17</f>
        <v>0</v>
      </c>
      <c r="L17" s="78"/>
      <c r="M17" s="78"/>
    </row>
    <row r="18" spans="1:18" x14ac:dyDescent="0.2">
      <c r="C18" s="79" t="s">
        <v>498</v>
      </c>
      <c r="D18" s="483" t="s">
        <v>801</v>
      </c>
      <c r="E18" s="362">
        <f>+'13.Facility 2 Grain Processing-'!C480+'13.Facility 2 Grain Processing-'!B605</f>
        <v>9.395543981481481</v>
      </c>
      <c r="F18" s="362">
        <f>+'13.Facility 2 Grain Processing-'!D480+'13.Facility 2 Grain Processing-'!C605</f>
        <v>16.380981481481481</v>
      </c>
      <c r="G18" s="362">
        <f>+'13.Facility 2 Grain Processing-'!E480+'13.Facility 2 Grain Processing-'!D605</f>
        <v>24.865874999999999</v>
      </c>
      <c r="H18" s="362">
        <f>+'13.Facility 2 Grain Processing-'!F480+'13.Facility 2 Grain Processing-'!E605</f>
        <v>34.993012962962965</v>
      </c>
      <c r="I18" s="362">
        <f>+'13.Facility 2 Grain Processing-'!G480+'13.Facility 2 Grain Processing-'!F605</f>
        <v>46.721210185185171</v>
      </c>
      <c r="J18" s="362">
        <f>+'13.Facility 2 Grain Processing-'!H480+'13.Facility 2 Grain Processing-'!G605</f>
        <v>60.268525925925914</v>
      </c>
      <c r="K18" s="362">
        <f>+'13.Facility 2 Grain Processing-'!I480+'13.Facility 2 Grain Processing-'!H605</f>
        <v>76.030691666666669</v>
      </c>
      <c r="L18" s="78"/>
      <c r="M18" s="78"/>
    </row>
    <row r="19" spans="1:18" x14ac:dyDescent="0.2">
      <c r="C19" s="79"/>
      <c r="D19" s="207"/>
      <c r="E19" s="80"/>
      <c r="F19" s="362"/>
      <c r="G19" s="362"/>
      <c r="H19" s="362"/>
      <c r="I19" s="362"/>
      <c r="J19" s="362"/>
      <c r="K19" s="362"/>
      <c r="L19" s="78"/>
      <c r="M19" s="78"/>
    </row>
    <row r="20" spans="1:18" x14ac:dyDescent="0.2">
      <c r="C20" s="79"/>
      <c r="D20" s="79"/>
      <c r="E20" s="79"/>
      <c r="F20" s="362"/>
      <c r="G20" s="362"/>
      <c r="H20" s="362"/>
      <c r="I20" s="362"/>
      <c r="J20" s="362"/>
      <c r="K20" s="362"/>
      <c r="L20" s="78"/>
      <c r="M20" s="78"/>
    </row>
    <row r="21" spans="1:18" x14ac:dyDescent="0.2">
      <c r="C21" s="79" t="s">
        <v>1</v>
      </c>
      <c r="D21" s="79"/>
      <c r="E21" s="363">
        <f t="shared" ref="E21:K21" si="7">SUM(E15:E20)</f>
        <v>9.395543981481481</v>
      </c>
      <c r="F21" s="362">
        <f t="shared" si="7"/>
        <v>16.380981481481481</v>
      </c>
      <c r="G21" s="362">
        <f t="shared" si="7"/>
        <v>24.865874999999999</v>
      </c>
      <c r="H21" s="362">
        <f t="shared" si="7"/>
        <v>34.993012962962965</v>
      </c>
      <c r="I21" s="362">
        <f t="shared" si="7"/>
        <v>46.721210185185171</v>
      </c>
      <c r="J21" s="362">
        <f t="shared" si="7"/>
        <v>60.268525925925914</v>
      </c>
      <c r="K21" s="362">
        <f t="shared" si="7"/>
        <v>76.030691666666669</v>
      </c>
      <c r="L21" s="78"/>
      <c r="M21" s="78"/>
    </row>
    <row r="22" spans="1:18" x14ac:dyDescent="0.2">
      <c r="C22" s="78"/>
      <c r="D22" s="78"/>
      <c r="E22" s="78"/>
      <c r="F22" s="78"/>
      <c r="G22" s="78"/>
      <c r="H22" s="78"/>
      <c r="I22" s="78"/>
      <c r="J22" s="78"/>
      <c r="K22" s="78"/>
      <c r="L22" s="78"/>
      <c r="M22" s="78"/>
    </row>
    <row r="23" spans="1:18" ht="41.1" customHeight="1" x14ac:dyDescent="0.2">
      <c r="B23" s="606"/>
      <c r="C23" s="712" t="s">
        <v>402</v>
      </c>
      <c r="D23" s="712"/>
      <c r="E23" s="712"/>
      <c r="F23" s="712"/>
      <c r="G23" s="712"/>
      <c r="H23" s="712"/>
      <c r="I23" s="712"/>
      <c r="J23" s="712"/>
      <c r="K23" s="712"/>
      <c r="L23" s="287"/>
      <c r="M23" s="287"/>
      <c r="N23" s="287"/>
      <c r="O23" s="247"/>
      <c r="P23" s="247"/>
      <c r="Q23" s="247"/>
      <c r="R23" s="247"/>
    </row>
    <row r="24" spans="1:18" x14ac:dyDescent="0.2">
      <c r="A24" t="s">
        <v>486</v>
      </c>
    </row>
    <row r="25" spans="1:18" x14ac:dyDescent="0.2">
      <c r="A25">
        <v>1</v>
      </c>
      <c r="B25" t="s">
        <v>489</v>
      </c>
    </row>
    <row r="28" spans="1:18" ht="18" x14ac:dyDescent="0.2">
      <c r="B28" s="704" t="s">
        <v>508</v>
      </c>
      <c r="C28" s="704"/>
      <c r="D28" s="704"/>
      <c r="E28" s="704"/>
      <c r="F28" s="704"/>
      <c r="G28" s="704"/>
      <c r="H28" s="704"/>
      <c r="I28" s="704"/>
      <c r="J28" s="704"/>
      <c r="K28" s="704"/>
    </row>
    <row r="30" spans="1:18" x14ac:dyDescent="0.2">
      <c r="B30" s="723" t="s">
        <v>140</v>
      </c>
      <c r="C30" s="723" t="s">
        <v>0</v>
      </c>
      <c r="D30" s="724" t="s">
        <v>353</v>
      </c>
      <c r="E30" s="726" t="s">
        <v>154</v>
      </c>
      <c r="F30" s="727"/>
      <c r="G30" s="727"/>
      <c r="H30" s="727"/>
      <c r="I30" s="727"/>
      <c r="J30" s="727"/>
      <c r="K30" s="727"/>
    </row>
    <row r="31" spans="1:18" ht="31.5" customHeight="1" x14ac:dyDescent="0.2">
      <c r="B31" s="723"/>
      <c r="C31" s="723"/>
      <c r="D31" s="725"/>
      <c r="E31" s="177" t="s">
        <v>2</v>
      </c>
      <c r="F31" s="177" t="s">
        <v>3</v>
      </c>
      <c r="G31" s="177" t="s">
        <v>4</v>
      </c>
      <c r="H31" s="177" t="s">
        <v>5</v>
      </c>
      <c r="I31" s="177" t="s">
        <v>6</v>
      </c>
      <c r="J31" s="177" t="s">
        <v>163</v>
      </c>
      <c r="K31" s="177" t="s">
        <v>162</v>
      </c>
    </row>
    <row r="32" spans="1:18" x14ac:dyDescent="0.2">
      <c r="B32" s="180"/>
      <c r="C32" s="181"/>
      <c r="D32" s="181"/>
      <c r="E32" s="182"/>
      <c r="F32" s="182"/>
      <c r="G32" s="182"/>
      <c r="H32" s="182"/>
      <c r="I32" s="182"/>
      <c r="J32" s="182"/>
      <c r="K32" s="182"/>
    </row>
    <row r="33" spans="2:11" x14ac:dyDescent="0.2">
      <c r="B33" s="183" t="s">
        <v>167</v>
      </c>
      <c r="C33" s="184" t="s">
        <v>334</v>
      </c>
      <c r="D33" s="195"/>
      <c r="E33" s="185"/>
      <c r="F33" s="185"/>
      <c r="G33" s="185"/>
      <c r="H33" s="185"/>
      <c r="I33" s="185"/>
      <c r="J33" s="185"/>
      <c r="K33" s="185"/>
    </row>
    <row r="34" spans="2:11" x14ac:dyDescent="0.2">
      <c r="B34" s="234">
        <v>1</v>
      </c>
      <c r="C34" s="186" t="s">
        <v>355</v>
      </c>
      <c r="D34" s="195">
        <v>14</v>
      </c>
      <c r="E34" s="484">
        <v>0</v>
      </c>
      <c r="F34" s="484">
        <v>0</v>
      </c>
      <c r="G34" s="484">
        <v>0</v>
      </c>
      <c r="H34" s="484">
        <v>0</v>
      </c>
      <c r="I34" s="484">
        <v>0</v>
      </c>
      <c r="J34" s="484">
        <v>0</v>
      </c>
      <c r="K34" s="484">
        <v>0</v>
      </c>
    </row>
    <row r="35" spans="2:11" x14ac:dyDescent="0.2">
      <c r="B35" s="234">
        <v>2</v>
      </c>
      <c r="C35" s="186" t="s">
        <v>350</v>
      </c>
      <c r="D35" s="195">
        <v>14</v>
      </c>
      <c r="E35" s="484">
        <f>('15. Facility 4 Custom Hiring'!E39/365)*$D$35</f>
        <v>0</v>
      </c>
      <c r="F35" s="484">
        <f>('15. Facility 4 Custom Hiring'!F39/365)*$D$35</f>
        <v>0</v>
      </c>
      <c r="G35" s="484">
        <f>('15. Facility 4 Custom Hiring'!G39/365)*$D$35</f>
        <v>0</v>
      </c>
      <c r="H35" s="484">
        <f>('15. Facility 4 Custom Hiring'!H39/365)*$D$35</f>
        <v>0</v>
      </c>
      <c r="I35" s="484">
        <f>('15. Facility 4 Custom Hiring'!I39/365)*$D$35</f>
        <v>0</v>
      </c>
      <c r="J35" s="484">
        <f>('15. Facility 4 Custom Hiring'!J39/365)*$D$35</f>
        <v>0</v>
      </c>
      <c r="K35" s="484">
        <f>('15. Facility 4 Custom Hiring'!K39/365)*$D$35</f>
        <v>0</v>
      </c>
    </row>
    <row r="36" spans="2:11" x14ac:dyDescent="0.2">
      <c r="B36" s="234">
        <v>3</v>
      </c>
      <c r="C36" s="186" t="s">
        <v>351</v>
      </c>
      <c r="D36" s="195">
        <v>14</v>
      </c>
      <c r="E36" s="484">
        <v>0</v>
      </c>
      <c r="F36" s="484">
        <v>0</v>
      </c>
      <c r="G36" s="484">
        <v>0</v>
      </c>
      <c r="H36" s="484">
        <v>0</v>
      </c>
      <c r="I36" s="484">
        <v>0</v>
      </c>
      <c r="J36" s="484">
        <v>0</v>
      </c>
      <c r="K36" s="484">
        <v>0</v>
      </c>
    </row>
    <row r="37" spans="2:11" x14ac:dyDescent="0.2">
      <c r="B37" s="234">
        <v>4</v>
      </c>
      <c r="C37" s="186" t="s">
        <v>136</v>
      </c>
      <c r="D37" s="195">
        <v>14</v>
      </c>
      <c r="E37" s="484">
        <f>('17.Facility 6 Horti Processing '!D148/365)*$D$37</f>
        <v>0</v>
      </c>
      <c r="F37" s="484">
        <f>('17.Facility 6 Horti Processing '!E148/365)*$D$37</f>
        <v>0</v>
      </c>
      <c r="G37" s="484">
        <f>('17.Facility 6 Horti Processing '!F148/365)*$D$37</f>
        <v>0</v>
      </c>
      <c r="H37" s="484">
        <f>('17.Facility 6 Horti Processing '!G148/365)*$D$37</f>
        <v>0</v>
      </c>
      <c r="I37" s="484">
        <f>('17.Facility 6 Horti Processing '!H148/365)*$D$37</f>
        <v>0</v>
      </c>
      <c r="J37" s="484">
        <f>('17.Facility 6 Horti Processing '!I148/365)*$D$37</f>
        <v>0</v>
      </c>
      <c r="K37" s="484">
        <f>('17.Facility 6 Horti Processing '!J148/365)*$D$37</f>
        <v>0</v>
      </c>
    </row>
    <row r="38" spans="2:11" x14ac:dyDescent="0.2">
      <c r="B38" s="234">
        <v>5</v>
      </c>
      <c r="C38" s="186" t="s">
        <v>289</v>
      </c>
      <c r="D38" s="195">
        <v>30</v>
      </c>
      <c r="E38" s="484">
        <f>('14. Facility 3 Warehouse'!D23/365)*$D$38</f>
        <v>0</v>
      </c>
      <c r="F38" s="484">
        <f>('14. Facility 3 Warehouse'!E23/365)*$D$38</f>
        <v>0</v>
      </c>
      <c r="G38" s="484">
        <f>('14. Facility 3 Warehouse'!F23/365)*$D$38</f>
        <v>0</v>
      </c>
      <c r="H38" s="484">
        <f>('14. Facility 3 Warehouse'!G23/365)*$D$38</f>
        <v>0</v>
      </c>
      <c r="I38" s="484">
        <f>('14. Facility 3 Warehouse'!H23/365)*$D$38</f>
        <v>0</v>
      </c>
      <c r="J38" s="484">
        <f>('14. Facility 3 Warehouse'!I23/365)*$D$38</f>
        <v>0</v>
      </c>
      <c r="K38" s="484">
        <f>('14. Facility 3 Warehouse'!J23/365)*$D$38</f>
        <v>0</v>
      </c>
    </row>
    <row r="39" spans="2:11" x14ac:dyDescent="0.2">
      <c r="B39" s="234">
        <v>6</v>
      </c>
      <c r="C39" s="186" t="s">
        <v>904</v>
      </c>
      <c r="D39" s="195">
        <v>30</v>
      </c>
      <c r="E39" s="484">
        <f>+'13.Facility 2 Grain Processing-'!D86/12</f>
        <v>18.834495177469133</v>
      </c>
      <c r="F39" s="484">
        <f>+'13.Facility 2 Grain Processing-'!E86/12</f>
        <v>21.973402777777778</v>
      </c>
      <c r="G39" s="484">
        <f>+'13.Facility 2 Grain Processing-'!F86/12</f>
        <v>25.445995146604943</v>
      </c>
      <c r="H39" s="484">
        <f>+'13.Facility 2 Grain Processing-'!G86/12</f>
        <v>29.349657091049384</v>
      </c>
      <c r="I39" s="484">
        <f>+'13.Facility 2 Grain Processing-'!H86/12</f>
        <v>33.192832509355718</v>
      </c>
      <c r="J39" s="484">
        <f>+'13.Facility 2 Grain Processing-'!I86/12</f>
        <v>37.55700294968171</v>
      </c>
      <c r="K39" s="484">
        <f>+'13.Facility 2 Grain Processing-'!J86/12</f>
        <v>42.432323619317856</v>
      </c>
    </row>
    <row r="40" spans="2:11" x14ac:dyDescent="0.2">
      <c r="B40" s="221"/>
      <c r="C40" s="184" t="s">
        <v>165</v>
      </c>
      <c r="D40" s="195"/>
      <c r="E40" s="484">
        <f t="shared" ref="E40:K40" si="8">SUM(E34:E39)</f>
        <v>18.834495177469133</v>
      </c>
      <c r="F40" s="484">
        <f t="shared" si="8"/>
        <v>21.973402777777778</v>
      </c>
      <c r="G40" s="484">
        <f t="shared" si="8"/>
        <v>25.445995146604943</v>
      </c>
      <c r="H40" s="484">
        <f t="shared" si="8"/>
        <v>29.349657091049384</v>
      </c>
      <c r="I40" s="484">
        <f t="shared" si="8"/>
        <v>33.192832509355718</v>
      </c>
      <c r="J40" s="484">
        <f t="shared" si="8"/>
        <v>37.55700294968171</v>
      </c>
      <c r="K40" s="484">
        <f t="shared" si="8"/>
        <v>42.432323619317856</v>
      </c>
    </row>
    <row r="41" spans="2:11" x14ac:dyDescent="0.2">
      <c r="B41" s="320"/>
      <c r="C41" s="184"/>
      <c r="D41" s="319"/>
      <c r="E41" s="484"/>
      <c r="F41" s="484"/>
      <c r="G41" s="484"/>
      <c r="H41" s="484"/>
      <c r="I41" s="484"/>
      <c r="J41" s="484"/>
      <c r="K41" s="484"/>
    </row>
    <row r="42" spans="2:11" x14ac:dyDescent="0.2">
      <c r="B42" s="183" t="s">
        <v>168</v>
      </c>
      <c r="C42" s="184" t="s">
        <v>333</v>
      </c>
      <c r="D42" s="195"/>
      <c r="E42" s="484">
        <f>'5.Closing Stock &amp; W Capital'!E21</f>
        <v>9.395543981481481</v>
      </c>
      <c r="F42" s="484">
        <f>'5.Closing Stock &amp; W Capital'!F21</f>
        <v>16.380981481481481</v>
      </c>
      <c r="G42" s="484">
        <f>'5.Closing Stock &amp; W Capital'!G21</f>
        <v>24.865874999999999</v>
      </c>
      <c r="H42" s="484">
        <f>'5.Closing Stock &amp; W Capital'!H21</f>
        <v>34.993012962962965</v>
      </c>
      <c r="I42" s="484">
        <f>'5.Closing Stock &amp; W Capital'!I21</f>
        <v>46.721210185185171</v>
      </c>
      <c r="J42" s="484">
        <f>'5.Closing Stock &amp; W Capital'!J21</f>
        <v>60.268525925925914</v>
      </c>
      <c r="K42" s="484">
        <f>'5.Closing Stock &amp; W Capital'!K21</f>
        <v>76.030691666666669</v>
      </c>
    </row>
    <row r="43" spans="2:11" x14ac:dyDescent="0.2">
      <c r="B43" s="183"/>
      <c r="C43" s="186"/>
      <c r="D43" s="195"/>
      <c r="E43" s="484"/>
      <c r="F43" s="484"/>
      <c r="G43" s="484"/>
      <c r="H43" s="484"/>
      <c r="I43" s="484"/>
      <c r="J43" s="484"/>
      <c r="K43" s="484"/>
    </row>
    <row r="44" spans="2:11" x14ac:dyDescent="0.2">
      <c r="B44" s="730" t="s">
        <v>1</v>
      </c>
      <c r="C44" s="731"/>
      <c r="D44" s="206"/>
      <c r="E44" s="485">
        <f>SUM(E40:E42)</f>
        <v>28.230039158950614</v>
      </c>
      <c r="F44" s="485">
        <f t="shared" ref="F44:K44" si="9">SUM(F40:F42)</f>
        <v>38.354384259259263</v>
      </c>
      <c r="G44" s="485">
        <f t="shared" si="9"/>
        <v>50.311870146604946</v>
      </c>
      <c r="H44" s="485">
        <f t="shared" si="9"/>
        <v>64.342670054012345</v>
      </c>
      <c r="I44" s="485">
        <f t="shared" si="9"/>
        <v>79.914042694540882</v>
      </c>
      <c r="J44" s="485">
        <f t="shared" si="9"/>
        <v>97.825528875607631</v>
      </c>
      <c r="K44" s="485">
        <f t="shared" si="9"/>
        <v>118.46301528598453</v>
      </c>
    </row>
    <row r="45" spans="2:11" x14ac:dyDescent="0.2">
      <c r="B45" s="183"/>
      <c r="C45" s="184"/>
      <c r="D45" s="195"/>
      <c r="E45" s="484"/>
      <c r="F45" s="484"/>
      <c r="G45" s="484"/>
      <c r="H45" s="484"/>
      <c r="I45" s="484"/>
      <c r="J45" s="484"/>
      <c r="K45" s="484"/>
    </row>
    <row r="46" spans="2:11" ht="34.5" customHeight="1" x14ac:dyDescent="0.2">
      <c r="B46" s="183" t="s">
        <v>169</v>
      </c>
      <c r="C46" s="186" t="s">
        <v>335</v>
      </c>
      <c r="D46" s="195"/>
      <c r="E46" s="484"/>
      <c r="F46" s="484"/>
      <c r="G46" s="484"/>
      <c r="H46" s="484"/>
      <c r="I46" s="484"/>
      <c r="J46" s="484"/>
      <c r="K46" s="484"/>
    </row>
    <row r="47" spans="2:11" x14ac:dyDescent="0.2">
      <c r="B47" s="234">
        <v>1</v>
      </c>
      <c r="C47" s="186" t="str">
        <f t="shared" ref="C47:C52" si="10">C34</f>
        <v>Agri Input</v>
      </c>
      <c r="D47" s="195">
        <v>7</v>
      </c>
      <c r="E47" s="484">
        <v>0</v>
      </c>
      <c r="F47" s="484">
        <v>0</v>
      </c>
      <c r="G47" s="484">
        <v>0</v>
      </c>
      <c r="H47" s="484">
        <v>0</v>
      </c>
      <c r="I47" s="484">
        <v>0</v>
      </c>
      <c r="J47" s="484">
        <v>0</v>
      </c>
      <c r="K47" s="484">
        <v>0</v>
      </c>
    </row>
    <row r="48" spans="2:11" x14ac:dyDescent="0.2">
      <c r="B48" s="234">
        <v>2</v>
      </c>
      <c r="C48" s="186" t="str">
        <f t="shared" si="10"/>
        <v>Custom Hiring</v>
      </c>
      <c r="D48" s="195">
        <v>7</v>
      </c>
      <c r="E48" s="484">
        <f>('15. Facility 4 Custom Hiring'!E49/365)*$D$49</f>
        <v>0</v>
      </c>
      <c r="F48" s="484">
        <f>('15. Facility 4 Custom Hiring'!F49/365)*$D$49</f>
        <v>0</v>
      </c>
      <c r="G48" s="484">
        <f>('15. Facility 4 Custom Hiring'!G49/365)*$D$49</f>
        <v>0</v>
      </c>
      <c r="H48" s="484">
        <f>('15. Facility 4 Custom Hiring'!H49/365)*$D$49</f>
        <v>0</v>
      </c>
      <c r="I48" s="484">
        <f>('15. Facility 4 Custom Hiring'!I49/365)*$D$49</f>
        <v>0</v>
      </c>
      <c r="J48" s="484">
        <f>('15. Facility 4 Custom Hiring'!J49/365)*$D$49</f>
        <v>0</v>
      </c>
      <c r="K48" s="484">
        <f>('15. Facility 4 Custom Hiring'!K49/365)*$D$49</f>
        <v>0</v>
      </c>
    </row>
    <row r="49" spans="2:12" x14ac:dyDescent="0.2">
      <c r="B49" s="234">
        <v>3</v>
      </c>
      <c r="C49" s="186" t="str">
        <f t="shared" si="10"/>
        <v>Cleaning &amp; Grading</v>
      </c>
      <c r="D49" s="195">
        <v>7</v>
      </c>
      <c r="E49" s="484">
        <v>0</v>
      </c>
      <c r="F49" s="484">
        <v>0</v>
      </c>
      <c r="G49" s="484">
        <v>0</v>
      </c>
      <c r="H49" s="484">
        <v>0</v>
      </c>
      <c r="I49" s="484">
        <v>0</v>
      </c>
      <c r="J49" s="484">
        <v>0</v>
      </c>
      <c r="K49" s="484">
        <v>0</v>
      </c>
    </row>
    <row r="50" spans="2:12" x14ac:dyDescent="0.2">
      <c r="B50" s="234">
        <v>4</v>
      </c>
      <c r="C50" s="186" t="str">
        <f t="shared" si="10"/>
        <v>Dal Mill</v>
      </c>
      <c r="D50" s="195">
        <v>7</v>
      </c>
      <c r="E50" s="484">
        <f>('17.Facility 6 Horti Processing '!D169/365)*$D$50</f>
        <v>0</v>
      </c>
      <c r="F50" s="484">
        <f>('17.Facility 6 Horti Processing '!E169/365)*$D$50</f>
        <v>0</v>
      </c>
      <c r="G50" s="484">
        <f>('17.Facility 6 Horti Processing '!F169/365)*$D$50</f>
        <v>0</v>
      </c>
      <c r="H50" s="484">
        <f>('17.Facility 6 Horti Processing '!G169/365)*$D$50</f>
        <v>0</v>
      </c>
      <c r="I50" s="484">
        <f>('17.Facility 6 Horti Processing '!H169/365)*$D$50</f>
        <v>0</v>
      </c>
      <c r="J50" s="484">
        <f>('17.Facility 6 Horti Processing '!I169/365)*$D$50</f>
        <v>0</v>
      </c>
      <c r="K50" s="484">
        <f>('17.Facility 6 Horti Processing '!J169/365)*$D$50</f>
        <v>0</v>
      </c>
    </row>
    <row r="51" spans="2:12" x14ac:dyDescent="0.2">
      <c r="B51" s="234">
        <v>5</v>
      </c>
      <c r="C51" s="186" t="str">
        <f t="shared" si="10"/>
        <v>Warehouse</v>
      </c>
      <c r="D51" s="195">
        <v>7</v>
      </c>
      <c r="E51" s="484">
        <f>('14. Facility 3 Warehouse'!D34/365)*$D$51</f>
        <v>0</v>
      </c>
      <c r="F51" s="484">
        <f>('14. Facility 3 Warehouse'!E34/365)*$D$51</f>
        <v>0</v>
      </c>
      <c r="G51" s="484">
        <f>('14. Facility 3 Warehouse'!F34/365)*$D$51</f>
        <v>0</v>
      </c>
      <c r="H51" s="484">
        <f>('14. Facility 3 Warehouse'!G34/365)*$D$51</f>
        <v>0</v>
      </c>
      <c r="I51" s="484">
        <f>('14. Facility 3 Warehouse'!H34/365)*$D$51</f>
        <v>0</v>
      </c>
      <c r="J51" s="484">
        <f>('14. Facility 3 Warehouse'!I34/365)*$D$51</f>
        <v>0</v>
      </c>
      <c r="K51" s="484">
        <f>('14. Facility 3 Warehouse'!J34/365)*$D$51</f>
        <v>0</v>
      </c>
    </row>
    <row r="52" spans="2:12" x14ac:dyDescent="0.2">
      <c r="B52" s="234"/>
      <c r="C52" s="186" t="str">
        <f t="shared" si="10"/>
        <v>Processing Unit - Oil Mill</v>
      </c>
      <c r="D52" s="195">
        <v>30</v>
      </c>
      <c r="E52" s="484">
        <f>+(+SUM('13.Facility 2 Grain Processing-'!D94:D103)+'13.Facility 2 Grain Processing-'!D118+'3.Other Exp &amp; Taxes'!C18)/12</f>
        <v>17.466427645833331</v>
      </c>
      <c r="F52" s="484">
        <f>+(+SUM('13.Facility 2 Grain Processing-'!E94:E103)+'13.Facility 2 Grain Processing-'!E118+'3.Other Exp &amp; Taxes'!D18)/12</f>
        <v>19.824360214583333</v>
      </c>
      <c r="G52" s="484">
        <f>+(+SUM('13.Facility 2 Grain Processing-'!F94:F103)+'13.Facility 2 Grain Processing-'!F118+'3.Other Exp &amp; Taxes'!E18)/12</f>
        <v>22.719967569062501</v>
      </c>
      <c r="H52" s="484">
        <f>+(+SUM('13.Facility 2 Grain Processing-'!G94:G103)+'13.Facility 2 Grain Processing-'!G118+'3.Other Exp &amp; Taxes'!F18)/12</f>
        <v>25.852780629112843</v>
      </c>
      <c r="I52" s="484">
        <f>+(+SUM('13.Facility 2 Grain Processing-'!H94:H103)+'13.Facility 2 Grain Processing-'!H118+'3.Other Exp &amp; Taxes'!G18)/12</f>
        <v>29.224905527235155</v>
      </c>
      <c r="J52" s="484">
        <f>+(+SUM('13.Facility 2 Grain Processing-'!I94:I103)+'13.Facility 2 Grain Processing-'!I118+'3.Other Exp &amp; Taxes'!H18)/12</f>
        <v>32.866862952555245</v>
      </c>
      <c r="K52" s="484">
        <f>+(+SUM('13.Facility 2 Grain Processing-'!J94:J103)+'13.Facility 2 Grain Processing-'!J118+'3.Other Exp &amp; Taxes'!I18)/12</f>
        <v>36.850912795321904</v>
      </c>
    </row>
    <row r="53" spans="2:12" x14ac:dyDescent="0.2">
      <c r="B53" s="234"/>
      <c r="C53" s="186"/>
      <c r="D53" s="195"/>
      <c r="E53" s="484"/>
      <c r="F53" s="484"/>
      <c r="G53" s="484"/>
      <c r="H53" s="484"/>
      <c r="I53" s="484"/>
      <c r="J53" s="484"/>
      <c r="K53" s="484"/>
    </row>
    <row r="54" spans="2:12" x14ac:dyDescent="0.2">
      <c r="B54" s="178"/>
      <c r="C54" s="184" t="s">
        <v>1</v>
      </c>
      <c r="D54" s="195"/>
      <c r="E54" s="485">
        <f>SUM(E47:E53)</f>
        <v>17.466427645833331</v>
      </c>
      <c r="F54" s="485">
        <f t="shared" ref="F54:K54" si="11">SUM(F47:F53)</f>
        <v>19.824360214583333</v>
      </c>
      <c r="G54" s="485">
        <f t="shared" si="11"/>
        <v>22.719967569062501</v>
      </c>
      <c r="H54" s="485">
        <f t="shared" si="11"/>
        <v>25.852780629112843</v>
      </c>
      <c r="I54" s="485">
        <f t="shared" si="11"/>
        <v>29.224905527235155</v>
      </c>
      <c r="J54" s="485">
        <f t="shared" si="11"/>
        <v>32.866862952555245</v>
      </c>
      <c r="K54" s="485">
        <f t="shared" si="11"/>
        <v>36.850912795321904</v>
      </c>
    </row>
    <row r="55" spans="2:12" x14ac:dyDescent="0.2">
      <c r="B55" s="183" t="s">
        <v>170</v>
      </c>
      <c r="C55" s="184" t="s">
        <v>152</v>
      </c>
      <c r="D55" s="195"/>
      <c r="E55" s="485">
        <f>E44-E54</f>
        <v>10.763611513117283</v>
      </c>
      <c r="F55" s="485">
        <f t="shared" ref="F55:K55" si="12">F44-F54</f>
        <v>18.53002404467593</v>
      </c>
      <c r="G55" s="485">
        <f t="shared" si="12"/>
        <v>27.591902577542445</v>
      </c>
      <c r="H55" s="485">
        <f t="shared" si="12"/>
        <v>38.489889424899502</v>
      </c>
      <c r="I55" s="485">
        <f t="shared" si="12"/>
        <v>50.689137167305731</v>
      </c>
      <c r="J55" s="485">
        <f t="shared" si="12"/>
        <v>64.958665923052394</v>
      </c>
      <c r="K55" s="485">
        <f t="shared" si="12"/>
        <v>81.612102490662622</v>
      </c>
    </row>
    <row r="56" spans="2:12" ht="38.25" x14ac:dyDescent="0.2">
      <c r="B56" s="320"/>
      <c r="C56" s="184" t="s">
        <v>803</v>
      </c>
      <c r="D56" s="486">
        <v>0.75</v>
      </c>
      <c r="E56" s="485">
        <f>+E55*$D$56</f>
        <v>8.0727086348379622</v>
      </c>
      <c r="F56" s="485">
        <f t="shared" ref="F56:K56" si="13">+F55*$D$56</f>
        <v>13.897518033506948</v>
      </c>
      <c r="G56" s="485">
        <f t="shared" si="13"/>
        <v>20.693926933156835</v>
      </c>
      <c r="H56" s="485">
        <f t="shared" si="13"/>
        <v>28.867417068674627</v>
      </c>
      <c r="I56" s="485">
        <f t="shared" si="13"/>
        <v>38.016852875479302</v>
      </c>
      <c r="J56" s="485">
        <f t="shared" si="13"/>
        <v>48.718999442289295</v>
      </c>
      <c r="K56" s="485">
        <f t="shared" si="13"/>
        <v>61.20907686799697</v>
      </c>
    </row>
    <row r="57" spans="2:12" x14ac:dyDescent="0.2">
      <c r="B57" s="183"/>
      <c r="C57" s="184" t="s">
        <v>130</v>
      </c>
      <c r="D57" s="243">
        <v>0.25</v>
      </c>
      <c r="E57" s="485">
        <f>+E55*$D$57</f>
        <v>2.6909028782793207</v>
      </c>
      <c r="F57" s="485">
        <f t="shared" ref="F57:K57" si="14">+F55*$D$57</f>
        <v>4.6325060111689824</v>
      </c>
      <c r="G57" s="485">
        <f t="shared" si="14"/>
        <v>6.8979756443856113</v>
      </c>
      <c r="H57" s="485">
        <f t="shared" si="14"/>
        <v>9.6224723562248755</v>
      </c>
      <c r="I57" s="485">
        <f t="shared" si="14"/>
        <v>12.672284291826433</v>
      </c>
      <c r="J57" s="485">
        <f t="shared" si="14"/>
        <v>16.239666480763098</v>
      </c>
      <c r="K57" s="485">
        <f t="shared" si="14"/>
        <v>20.403025622665655</v>
      </c>
    </row>
    <row r="59" spans="2:12" x14ac:dyDescent="0.2">
      <c r="E59" s="27"/>
    </row>
    <row r="60" spans="2:12" ht="36.950000000000003" customHeight="1" x14ac:dyDescent="0.2">
      <c r="B60" s="728" t="s">
        <v>397</v>
      </c>
      <c r="C60" s="728"/>
      <c r="D60" s="728"/>
      <c r="E60" s="728"/>
      <c r="F60" s="728"/>
      <c r="G60" s="728"/>
      <c r="H60" s="728"/>
      <c r="I60" s="728"/>
      <c r="J60" s="728"/>
      <c r="K60" s="728"/>
      <c r="L60" s="607"/>
    </row>
    <row r="61" spans="2:12" x14ac:dyDescent="0.2">
      <c r="B61" t="s">
        <v>490</v>
      </c>
    </row>
    <row r="62" spans="2:12" x14ac:dyDescent="0.2">
      <c r="B62">
        <v>1</v>
      </c>
      <c r="C62" t="s">
        <v>812</v>
      </c>
    </row>
    <row r="63" spans="2:12" x14ac:dyDescent="0.2">
      <c r="B63">
        <v>2</v>
      </c>
      <c r="C63" t="s">
        <v>813</v>
      </c>
    </row>
    <row r="64" spans="2:12" x14ac:dyDescent="0.2">
      <c r="B64">
        <v>3</v>
      </c>
      <c r="C64" t="s">
        <v>814</v>
      </c>
    </row>
    <row r="69" spans="3:14" x14ac:dyDescent="0.2">
      <c r="C69" s="325" t="s">
        <v>726</v>
      </c>
      <c r="D69" s="325" t="s">
        <v>0</v>
      </c>
      <c r="E69" s="325" t="s">
        <v>2</v>
      </c>
      <c r="F69" s="325" t="s">
        <v>3</v>
      </c>
      <c r="G69" s="325" t="s">
        <v>4</v>
      </c>
      <c r="H69" s="325" t="s">
        <v>5</v>
      </c>
      <c r="I69" s="325" t="s">
        <v>6</v>
      </c>
      <c r="J69" s="325" t="s">
        <v>163</v>
      </c>
      <c r="K69" s="325" t="s">
        <v>162</v>
      </c>
      <c r="L69" s="325" t="s">
        <v>658</v>
      </c>
      <c r="M69" s="325" t="s">
        <v>659</v>
      </c>
      <c r="N69" s="325" t="s">
        <v>660</v>
      </c>
    </row>
    <row r="70" spans="3:14" x14ac:dyDescent="0.2">
      <c r="C70" s="332"/>
      <c r="D70" s="332"/>
      <c r="E70" s="332"/>
      <c r="F70" s="332"/>
      <c r="G70" s="332"/>
      <c r="H70" s="332"/>
      <c r="I70" s="332"/>
      <c r="J70" s="316"/>
      <c r="K70" s="316"/>
      <c r="L70" s="316"/>
      <c r="M70" s="316"/>
      <c r="N70" s="316"/>
    </row>
    <row r="71" spans="3:14" x14ac:dyDescent="0.2">
      <c r="C71" s="387">
        <v>1</v>
      </c>
      <c r="D71" s="332" t="s">
        <v>727</v>
      </c>
      <c r="E71" s="388" t="e">
        <f>[1]BS!E102</f>
        <v>#REF!</v>
      </c>
      <c r="F71" s="388" t="e">
        <f>[1]BS!F102</f>
        <v>#REF!</v>
      </c>
      <c r="G71" s="388" t="e">
        <f>[1]BS!G102</f>
        <v>#REF!</v>
      </c>
      <c r="H71" s="388" t="e">
        <f>[1]BS!H102</f>
        <v>#REF!</v>
      </c>
      <c r="I71" s="388" t="e">
        <f>[1]BS!I102</f>
        <v>#REF!</v>
      </c>
      <c r="J71" s="388" t="e">
        <f>[1]BS!J102</f>
        <v>#REF!</v>
      </c>
      <c r="K71" s="388" t="e">
        <f>[1]BS!K102</f>
        <v>#REF!</v>
      </c>
      <c r="L71" s="388" t="e">
        <f>[1]BS!L102</f>
        <v>#REF!</v>
      </c>
      <c r="M71" s="388" t="e">
        <f>[1]BS!M102</f>
        <v>#REF!</v>
      </c>
      <c r="N71" s="388" t="e">
        <f>[1]BS!N102</f>
        <v>#REF!</v>
      </c>
    </row>
    <row r="72" spans="3:14" x14ac:dyDescent="0.2">
      <c r="C72" s="387">
        <v>2</v>
      </c>
      <c r="D72" s="332" t="s">
        <v>728</v>
      </c>
      <c r="E72" s="388" t="e">
        <f>[1]BS!E106+[1]BS!E107</f>
        <v>#REF!</v>
      </c>
      <c r="F72" s="388" t="e">
        <f>[1]BS!F106+[1]BS!F107</f>
        <v>#REF!</v>
      </c>
      <c r="G72" s="388" t="e">
        <f>[1]BS!G106+[1]BS!G107</f>
        <v>#REF!</v>
      </c>
      <c r="H72" s="388" t="e">
        <f>[1]BS!H106+[1]BS!H107</f>
        <v>#REF!</v>
      </c>
      <c r="I72" s="388" t="e">
        <f>[1]BS!I106+[1]BS!I107</f>
        <v>#REF!</v>
      </c>
      <c r="J72" s="388" t="e">
        <f>[1]BS!J106+[1]BS!J107</f>
        <v>#REF!</v>
      </c>
      <c r="K72" s="388" t="e">
        <f>[1]BS!K106+[1]BS!K107</f>
        <v>#REF!</v>
      </c>
      <c r="L72" s="388" t="e">
        <f>[1]BS!L106+[1]BS!L107</f>
        <v>#REF!</v>
      </c>
      <c r="M72" s="388" t="e">
        <f>[1]BS!M106+[1]BS!M107</f>
        <v>#REF!</v>
      </c>
      <c r="N72" s="388" t="e">
        <f>[1]BS!N106+[1]BS!N107</f>
        <v>#REF!</v>
      </c>
    </row>
    <row r="73" spans="3:14" x14ac:dyDescent="0.2">
      <c r="C73" s="387">
        <v>3</v>
      </c>
      <c r="D73" s="332" t="s">
        <v>729</v>
      </c>
      <c r="E73" s="389" t="e">
        <f>[1]BS!E88</f>
        <v>#REF!</v>
      </c>
      <c r="F73" s="389" t="e">
        <f>[1]BS!F88</f>
        <v>#REF!</v>
      </c>
      <c r="G73" s="389" t="e">
        <f>[1]BS!G88</f>
        <v>#REF!</v>
      </c>
      <c r="H73" s="389" t="e">
        <f>[1]BS!H88</f>
        <v>#REF!</v>
      </c>
      <c r="I73" s="389" t="e">
        <f>[1]BS!I88</f>
        <v>#REF!</v>
      </c>
      <c r="J73" s="389" t="e">
        <f>[1]BS!J88</f>
        <v>#REF!</v>
      </c>
      <c r="K73" s="389" t="e">
        <f>[1]BS!K88</f>
        <v>#REF!</v>
      </c>
      <c r="L73" s="389" t="e">
        <f>[1]BS!L88</f>
        <v>#REF!</v>
      </c>
      <c r="M73" s="389" t="e">
        <f>[1]BS!M88</f>
        <v>#REF!</v>
      </c>
      <c r="N73" s="389" t="e">
        <f>[1]BS!N88</f>
        <v>#REF!</v>
      </c>
    </row>
    <row r="74" spans="3:14" x14ac:dyDescent="0.2">
      <c r="C74" s="389"/>
      <c r="D74" s="332"/>
      <c r="E74" s="389"/>
      <c r="F74" s="389"/>
      <c r="G74" s="389"/>
      <c r="H74" s="389"/>
      <c r="I74" s="389"/>
      <c r="J74" s="389"/>
      <c r="K74" s="389"/>
      <c r="L74" s="316"/>
      <c r="M74" s="316"/>
      <c r="N74" s="316"/>
    </row>
    <row r="75" spans="3:14" x14ac:dyDescent="0.2">
      <c r="C75" s="390"/>
      <c r="D75" s="332" t="s">
        <v>730</v>
      </c>
      <c r="E75" s="391" t="e">
        <f t="shared" ref="E75:N75" si="15">E71+E72-E73</f>
        <v>#REF!</v>
      </c>
      <c r="F75" s="391" t="e">
        <f t="shared" si="15"/>
        <v>#REF!</v>
      </c>
      <c r="G75" s="391" t="e">
        <f t="shared" si="15"/>
        <v>#REF!</v>
      </c>
      <c r="H75" s="391" t="e">
        <f t="shared" si="15"/>
        <v>#REF!</v>
      </c>
      <c r="I75" s="391" t="e">
        <f t="shared" si="15"/>
        <v>#REF!</v>
      </c>
      <c r="J75" s="391" t="e">
        <f t="shared" si="15"/>
        <v>#REF!</v>
      </c>
      <c r="K75" s="391" t="e">
        <f t="shared" si="15"/>
        <v>#REF!</v>
      </c>
      <c r="L75" s="391" t="e">
        <f t="shared" si="15"/>
        <v>#REF!</v>
      </c>
      <c r="M75" s="391" t="e">
        <f t="shared" si="15"/>
        <v>#REF!</v>
      </c>
      <c r="N75" s="391" t="e">
        <f t="shared" si="15"/>
        <v>#REF!</v>
      </c>
    </row>
    <row r="76" spans="3:14" x14ac:dyDescent="0.2">
      <c r="C76" s="390"/>
      <c r="D76" s="332"/>
      <c r="E76" s="389"/>
      <c r="F76" s="389"/>
      <c r="G76" s="389"/>
      <c r="H76" s="389"/>
      <c r="I76" s="389"/>
      <c r="J76" s="389"/>
      <c r="K76" s="389"/>
      <c r="L76" s="316"/>
      <c r="M76" s="316"/>
      <c r="N76" s="316"/>
    </row>
    <row r="77" spans="3:14" x14ac:dyDescent="0.2">
      <c r="C77" s="390"/>
      <c r="D77" s="332"/>
      <c r="E77" s="389"/>
      <c r="F77" s="389"/>
      <c r="G77" s="389"/>
      <c r="H77" s="389"/>
      <c r="I77" s="389"/>
      <c r="J77" s="389"/>
      <c r="K77" s="389"/>
      <c r="L77" s="316"/>
      <c r="M77" s="316"/>
      <c r="N77" s="316"/>
    </row>
    <row r="78" spans="3:14" ht="50.25" x14ac:dyDescent="0.2">
      <c r="C78" s="392"/>
      <c r="D78" s="393" t="s">
        <v>731</v>
      </c>
      <c r="E78" s="394" t="e">
        <f>E71+E72-E73</f>
        <v>#REF!</v>
      </c>
      <c r="F78" s="394" t="e">
        <f t="shared" ref="F78:N78" si="16">F71+F72-F73</f>
        <v>#REF!</v>
      </c>
      <c r="G78" s="394" t="e">
        <f t="shared" si="16"/>
        <v>#REF!</v>
      </c>
      <c r="H78" s="394" t="e">
        <f t="shared" si="16"/>
        <v>#REF!</v>
      </c>
      <c r="I78" s="394" t="e">
        <f t="shared" si="16"/>
        <v>#REF!</v>
      </c>
      <c r="J78" s="394" t="e">
        <f t="shared" si="16"/>
        <v>#REF!</v>
      </c>
      <c r="K78" s="394" t="e">
        <f t="shared" si="16"/>
        <v>#REF!</v>
      </c>
      <c r="L78" s="394" t="e">
        <f t="shared" si="16"/>
        <v>#REF!</v>
      </c>
      <c r="M78" s="394" t="e">
        <f t="shared" si="16"/>
        <v>#REF!</v>
      </c>
      <c r="N78" s="394" t="e">
        <f t="shared" si="16"/>
        <v>#REF!</v>
      </c>
    </row>
    <row r="79" spans="3:14" x14ac:dyDescent="0.2">
      <c r="C79" s="390"/>
      <c r="D79" s="332"/>
      <c r="E79" s="332"/>
      <c r="F79" s="332"/>
      <c r="G79" s="332"/>
      <c r="H79" s="332"/>
      <c r="I79" s="332"/>
      <c r="J79" s="316"/>
      <c r="K79" s="316"/>
      <c r="L79" s="316"/>
      <c r="M79" s="316"/>
      <c r="N79" s="316"/>
    </row>
    <row r="80" spans="3:14" x14ac:dyDescent="0.2">
      <c r="C80" s="390"/>
      <c r="D80" s="332" t="s">
        <v>732</v>
      </c>
      <c r="E80" s="391" t="e">
        <f>E78*0.25</f>
        <v>#REF!</v>
      </c>
      <c r="F80" s="391" t="e">
        <f t="shared" ref="F80:N80" si="17">F78*0.25</f>
        <v>#REF!</v>
      </c>
      <c r="G80" s="391" t="e">
        <f t="shared" si="17"/>
        <v>#REF!</v>
      </c>
      <c r="H80" s="391" t="e">
        <f t="shared" si="17"/>
        <v>#REF!</v>
      </c>
      <c r="I80" s="391" t="e">
        <f t="shared" si="17"/>
        <v>#REF!</v>
      </c>
      <c r="J80" s="391" t="e">
        <f t="shared" si="17"/>
        <v>#REF!</v>
      </c>
      <c r="K80" s="391" t="e">
        <f t="shared" si="17"/>
        <v>#REF!</v>
      </c>
      <c r="L80" s="391" t="e">
        <f t="shared" si="17"/>
        <v>#REF!</v>
      </c>
      <c r="M80" s="391" t="e">
        <f t="shared" si="17"/>
        <v>#REF!</v>
      </c>
      <c r="N80" s="391" t="e">
        <f t="shared" si="17"/>
        <v>#REF!</v>
      </c>
    </row>
    <row r="81" spans="3:14" x14ac:dyDescent="0.2">
      <c r="C81" s="390"/>
      <c r="D81" s="332"/>
      <c r="E81" s="332"/>
      <c r="F81" s="332"/>
      <c r="G81" s="332"/>
      <c r="H81" s="332"/>
      <c r="I81" s="332"/>
      <c r="J81" s="316"/>
      <c r="K81" s="316"/>
      <c r="L81" s="316"/>
      <c r="M81" s="316"/>
      <c r="N81" s="316"/>
    </row>
    <row r="82" spans="3:14" ht="50.25" x14ac:dyDescent="0.2">
      <c r="C82" s="390"/>
      <c r="D82" s="395" t="s">
        <v>733</v>
      </c>
      <c r="E82" s="391" t="e">
        <f>E78-E80</f>
        <v>#REF!</v>
      </c>
      <c r="F82" s="391" t="e">
        <f t="shared" ref="F82:N82" si="18">F78-F80</f>
        <v>#REF!</v>
      </c>
      <c r="G82" s="391" t="e">
        <f t="shared" si="18"/>
        <v>#REF!</v>
      </c>
      <c r="H82" s="391" t="e">
        <f t="shared" si="18"/>
        <v>#REF!</v>
      </c>
      <c r="I82" s="391" t="e">
        <f t="shared" si="18"/>
        <v>#REF!</v>
      </c>
      <c r="J82" s="391" t="e">
        <f t="shared" si="18"/>
        <v>#REF!</v>
      </c>
      <c r="K82" s="391" t="e">
        <f t="shared" si="18"/>
        <v>#REF!</v>
      </c>
      <c r="L82" s="391" t="e">
        <f t="shared" si="18"/>
        <v>#REF!</v>
      </c>
      <c r="M82" s="391" t="e">
        <f t="shared" si="18"/>
        <v>#REF!</v>
      </c>
      <c r="N82" s="391" t="e">
        <f t="shared" si="18"/>
        <v>#REF!</v>
      </c>
    </row>
  </sheetData>
  <mergeCells count="13">
    <mergeCell ref="B60:K60"/>
    <mergeCell ref="N6:R6"/>
    <mergeCell ref="U5:V5"/>
    <mergeCell ref="U6:V6"/>
    <mergeCell ref="B44:C44"/>
    <mergeCell ref="C2:K2"/>
    <mergeCell ref="N5:R5"/>
    <mergeCell ref="B28:K28"/>
    <mergeCell ref="B30:B31"/>
    <mergeCell ref="C30:C31"/>
    <mergeCell ref="D30:D31"/>
    <mergeCell ref="E30:K30"/>
    <mergeCell ref="C23:K23"/>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66"/>
  <sheetViews>
    <sheetView view="pageBreakPreview" topLeftCell="A44" zoomScale="85" zoomScaleSheetLayoutView="85" workbookViewId="0" xr3:uid="{9B253EF2-77E0-53E3-AE26-4D66ECD923F3}">
      <selection activeCell="C57" sqref="C57"/>
    </sheetView>
  </sheetViews>
  <sheetFormatPr defaultColWidth="9.14453125" defaultRowHeight="15" x14ac:dyDescent="0.2"/>
  <cols>
    <col min="1" max="1" width="40.625" style="365" bestFit="1" customWidth="1"/>
    <col min="2" max="8" width="11.02734375" style="365" customWidth="1"/>
    <col min="9" max="9" width="8.609375" style="365" customWidth="1"/>
    <col min="10" max="10" width="10.0859375" style="365" bestFit="1" customWidth="1"/>
    <col min="11" max="11" width="9.55078125" style="365" bestFit="1" customWidth="1"/>
    <col min="12" max="16384" width="9.14453125" style="365"/>
  </cols>
  <sheetData>
    <row r="2" spans="1:11" ht="18" x14ac:dyDescent="0.2">
      <c r="A2" s="732" t="s">
        <v>509</v>
      </c>
      <c r="B2" s="732"/>
      <c r="C2" s="732"/>
      <c r="D2" s="732"/>
      <c r="E2" s="732"/>
      <c r="F2" s="732"/>
      <c r="G2" s="732"/>
      <c r="H2" s="732"/>
    </row>
    <row r="5" spans="1:11" x14ac:dyDescent="0.2">
      <c r="A5" s="396" t="s">
        <v>0</v>
      </c>
      <c r="B5" s="397" t="s">
        <v>2</v>
      </c>
      <c r="C5" s="397" t="s">
        <v>3</v>
      </c>
      <c r="D5" s="397" t="s">
        <v>4</v>
      </c>
      <c r="E5" s="397" t="s">
        <v>5</v>
      </c>
      <c r="F5" s="397" t="s">
        <v>6</v>
      </c>
      <c r="G5" s="397" t="s">
        <v>163</v>
      </c>
      <c r="H5" s="397" t="s">
        <v>162</v>
      </c>
    </row>
    <row r="6" spans="1:11" x14ac:dyDescent="0.2">
      <c r="A6" s="398" t="s">
        <v>124</v>
      </c>
      <c r="B6" s="363"/>
      <c r="C6" s="363"/>
      <c r="D6" s="363"/>
      <c r="E6" s="363"/>
      <c r="F6" s="363"/>
      <c r="G6" s="363"/>
      <c r="H6" s="363"/>
    </row>
    <row r="7" spans="1:11" x14ac:dyDescent="0.2">
      <c r="A7" s="363"/>
      <c r="B7" s="363"/>
      <c r="C7" s="363"/>
      <c r="D7" s="363"/>
      <c r="E7" s="363"/>
      <c r="F7" s="363"/>
      <c r="G7" s="363"/>
      <c r="H7" s="363"/>
    </row>
    <row r="8" spans="1:11" x14ac:dyDescent="0.2">
      <c r="A8" s="363" t="s">
        <v>470</v>
      </c>
      <c r="B8" s="362">
        <v>0</v>
      </c>
      <c r="C8" s="362">
        <v>0</v>
      </c>
      <c r="D8" s="362">
        <v>0</v>
      </c>
      <c r="E8" s="362">
        <v>0</v>
      </c>
      <c r="F8" s="362">
        <v>0</v>
      </c>
      <c r="G8" s="362">
        <v>0</v>
      </c>
      <c r="H8" s="362">
        <v>0</v>
      </c>
    </row>
    <row r="9" spans="1:11" x14ac:dyDescent="0.2">
      <c r="A9" s="363" t="s">
        <v>482</v>
      </c>
      <c r="B9" s="362">
        <f>'17.Facility 6 Horti Processing '!D148</f>
        <v>0</v>
      </c>
      <c r="C9" s="362">
        <f>'17.Facility 6 Horti Processing '!E148</f>
        <v>0</v>
      </c>
      <c r="D9" s="362">
        <f>'17.Facility 6 Horti Processing '!F148</f>
        <v>0</v>
      </c>
      <c r="E9" s="362">
        <f>'17.Facility 6 Horti Processing '!G148</f>
        <v>0</v>
      </c>
      <c r="F9" s="362">
        <f>'17.Facility 6 Horti Processing '!H148</f>
        <v>0</v>
      </c>
      <c r="G9" s="362">
        <f>'17.Facility 6 Horti Processing '!I148</f>
        <v>0</v>
      </c>
      <c r="H9" s="362">
        <f>'17.Facility 6 Horti Processing '!J148</f>
        <v>0</v>
      </c>
    </row>
    <row r="10" spans="1:11" x14ac:dyDescent="0.2">
      <c r="A10" s="363" t="s">
        <v>471</v>
      </c>
      <c r="B10" s="362">
        <f>'14. Facility 3 Warehouse'!D23</f>
        <v>0</v>
      </c>
      <c r="C10" s="362">
        <f>'14. Facility 3 Warehouse'!E23</f>
        <v>0</v>
      </c>
      <c r="D10" s="362">
        <f>'14. Facility 3 Warehouse'!F23</f>
        <v>0</v>
      </c>
      <c r="E10" s="362">
        <f>'14. Facility 3 Warehouse'!G23</f>
        <v>0</v>
      </c>
      <c r="F10" s="362">
        <f>'14. Facility 3 Warehouse'!H23</f>
        <v>0</v>
      </c>
      <c r="G10" s="362">
        <f>'14. Facility 3 Warehouse'!I23</f>
        <v>0</v>
      </c>
      <c r="H10" s="362">
        <f>'14. Facility 3 Warehouse'!J23</f>
        <v>0</v>
      </c>
    </row>
    <row r="11" spans="1:11" x14ac:dyDescent="0.2">
      <c r="A11" s="363" t="s">
        <v>472</v>
      </c>
      <c r="B11" s="362">
        <f>'15. Facility 4 Custom Hiring'!E39</f>
        <v>0</v>
      </c>
      <c r="C11" s="362">
        <f>'15. Facility 4 Custom Hiring'!F39</f>
        <v>0</v>
      </c>
      <c r="D11" s="362">
        <f>'15. Facility 4 Custom Hiring'!G39</f>
        <v>0</v>
      </c>
      <c r="E11" s="362">
        <f>'15. Facility 4 Custom Hiring'!H39</f>
        <v>0</v>
      </c>
      <c r="F11" s="362">
        <f>'15. Facility 4 Custom Hiring'!I39</f>
        <v>0</v>
      </c>
      <c r="G11" s="362">
        <f>'15. Facility 4 Custom Hiring'!J39</f>
        <v>0</v>
      </c>
      <c r="H11" s="362">
        <f>'15. Facility 4 Custom Hiring'!K39</f>
        <v>0</v>
      </c>
    </row>
    <row r="12" spans="1:11" x14ac:dyDescent="0.2">
      <c r="A12" s="363" t="s">
        <v>469</v>
      </c>
      <c r="B12" s="362">
        <v>0</v>
      </c>
      <c r="C12" s="362">
        <v>0</v>
      </c>
      <c r="D12" s="362">
        <v>0</v>
      </c>
      <c r="E12" s="362">
        <v>0</v>
      </c>
      <c r="F12" s="362">
        <v>0</v>
      </c>
      <c r="G12" s="362">
        <v>0</v>
      </c>
      <c r="H12" s="362">
        <v>0</v>
      </c>
      <c r="K12" s="363" t="s">
        <v>482</v>
      </c>
    </row>
    <row r="13" spans="1:11" x14ac:dyDescent="0.2">
      <c r="A13" s="363" t="s">
        <v>905</v>
      </c>
      <c r="B13" s="362">
        <f>+'13.Facility 2 Grain Processing-'!D82</f>
        <v>216.69894212962961</v>
      </c>
      <c r="C13" s="362">
        <f>+'13.Facility 2 Grain Processing-'!E82</f>
        <v>252.81333333333333</v>
      </c>
      <c r="D13" s="362">
        <f>+'13.Facility 2 Grain Processing-'!F82</f>
        <v>292.79997925925932</v>
      </c>
      <c r="E13" s="362">
        <f>+'13.Facility 2 Grain Processing-'!G82</f>
        <v>337.81818259259262</v>
      </c>
      <c r="F13" s="362">
        <f>+'13.Facility 2 Grain Processing-'!H82</f>
        <v>381.95935351851858</v>
      </c>
      <c r="G13" s="362">
        <f>+'13.Facility 2 Grain Processing-'!I82</f>
        <v>432.19071555555553</v>
      </c>
      <c r="H13" s="362">
        <f>+'13.Facility 2 Grain Processing-'!J82</f>
        <v>488.38289861111116</v>
      </c>
    </row>
    <row r="14" spans="1:11" x14ac:dyDescent="0.2">
      <c r="A14" s="363" t="s">
        <v>734</v>
      </c>
      <c r="B14" s="362">
        <f>+'13.Facility 2 Grain Processing-'!D81</f>
        <v>9.3149999999999995</v>
      </c>
      <c r="C14" s="362">
        <f>+'13.Facility 2 Grain Processing-'!E81</f>
        <v>10.8675</v>
      </c>
      <c r="D14" s="362">
        <f>+'13.Facility 2 Grain Processing-'!F81</f>
        <v>12.551962500000002</v>
      </c>
      <c r="E14" s="362">
        <f>+'13.Facility 2 Grain Processing-'!G81</f>
        <v>14.377702500000005</v>
      </c>
      <c r="F14" s="362">
        <f>+'13.Facility 2 Grain Processing-'!H81</f>
        <v>16.354636593750005</v>
      </c>
      <c r="G14" s="362">
        <f>+'13.Facility 2 Grain Processing-'!I81</f>
        <v>18.493319840625009</v>
      </c>
      <c r="H14" s="362">
        <f>+'13.Facility 2 Grain Processing-'!J81</f>
        <v>20.804984820703137</v>
      </c>
    </row>
    <row r="15" spans="1:11" x14ac:dyDescent="0.2">
      <c r="A15" s="363" t="s">
        <v>735</v>
      </c>
      <c r="B15" s="362">
        <f>+'13.Facility 2 Grain Processing-'!D83</f>
        <v>0</v>
      </c>
      <c r="C15" s="362">
        <f>+'13.Facility 2 Grain Processing-'!E83</f>
        <v>0</v>
      </c>
      <c r="D15" s="362">
        <f>+'13.Facility 2 Grain Processing-'!F83</f>
        <v>0</v>
      </c>
      <c r="E15" s="362">
        <f>+'13.Facility 2 Grain Processing-'!G83</f>
        <v>0</v>
      </c>
      <c r="F15" s="362">
        <f>+'13.Facility 2 Grain Processing-'!H83</f>
        <v>0</v>
      </c>
      <c r="G15" s="362">
        <f>+'13.Facility 2 Grain Processing-'!I83</f>
        <v>0</v>
      </c>
      <c r="H15" s="362">
        <f>+'13.Facility 2 Grain Processing-'!J83</f>
        <v>0</v>
      </c>
    </row>
    <row r="16" spans="1:11" x14ac:dyDescent="0.2">
      <c r="A16" s="363"/>
      <c r="B16" s="362"/>
      <c r="C16" s="362"/>
      <c r="D16" s="362"/>
      <c r="E16" s="362"/>
      <c r="F16" s="362"/>
      <c r="G16" s="362"/>
      <c r="H16" s="362"/>
    </row>
    <row r="17" spans="1:8" x14ac:dyDescent="0.2">
      <c r="A17" s="363" t="s">
        <v>798</v>
      </c>
      <c r="B17" s="362">
        <f>+'13.Facility 2 Grain Processing-'!C479</f>
        <v>0</v>
      </c>
      <c r="C17" s="362">
        <f>+'13.Facility 2 Grain Processing-'!D479</f>
        <v>5.5755439814814807</v>
      </c>
      <c r="D17" s="362">
        <f>+'13.Facility 2 Grain Processing-'!E479</f>
        <v>12.369981481481481</v>
      </c>
      <c r="E17" s="362">
        <f>+'13.Facility 2 Grain Processing-'!F479</f>
        <v>20.654274999999998</v>
      </c>
      <c r="F17" s="362">
        <f>+'13.Facility 2 Grain Processing-'!G479</f>
        <v>30.570712962962961</v>
      </c>
      <c r="G17" s="362">
        <f>+'13.Facility 2 Grain Processing-'!H479</f>
        <v>42.077910185185175</v>
      </c>
      <c r="H17" s="362">
        <f>+'13.Facility 2 Grain Processing-'!I479</f>
        <v>55.392925925925915</v>
      </c>
    </row>
    <row r="18" spans="1:8" x14ac:dyDescent="0.2">
      <c r="A18" s="363" t="s">
        <v>799</v>
      </c>
      <c r="B18" s="362">
        <f>+'13.Facility 2 Grain Processing-'!C480</f>
        <v>5.5755439814814807</v>
      </c>
      <c r="C18" s="362">
        <f>+'13.Facility 2 Grain Processing-'!D480</f>
        <v>12.369981481481481</v>
      </c>
      <c r="D18" s="362">
        <f>+'13.Facility 2 Grain Processing-'!E480</f>
        <v>20.654274999999998</v>
      </c>
      <c r="E18" s="362">
        <f>+'13.Facility 2 Grain Processing-'!F480</f>
        <v>30.570712962962961</v>
      </c>
      <c r="F18" s="362">
        <f>+'13.Facility 2 Grain Processing-'!G480</f>
        <v>42.077910185185175</v>
      </c>
      <c r="G18" s="362">
        <f>+'13.Facility 2 Grain Processing-'!H480</f>
        <v>55.392925925925915</v>
      </c>
      <c r="H18" s="362">
        <f>+'13.Facility 2 Grain Processing-'!I480</f>
        <v>70.911291666666671</v>
      </c>
    </row>
    <row r="19" spans="1:8" x14ac:dyDescent="0.2">
      <c r="A19" s="398" t="s">
        <v>138</v>
      </c>
      <c r="B19" s="399">
        <f>+SUM(B8:B15)+B18-B17</f>
        <v>231.58948611111109</v>
      </c>
      <c r="C19" s="399">
        <f t="shared" ref="C19:H19" si="0">+SUM(C8:C15)+C18-C17</f>
        <v>270.47527083333335</v>
      </c>
      <c r="D19" s="399">
        <f t="shared" si="0"/>
        <v>313.63623527777781</v>
      </c>
      <c r="E19" s="399">
        <f t="shared" si="0"/>
        <v>362.11232305555558</v>
      </c>
      <c r="F19" s="399">
        <f t="shared" si="0"/>
        <v>409.82118733449079</v>
      </c>
      <c r="G19" s="399">
        <f t="shared" si="0"/>
        <v>463.99905113692125</v>
      </c>
      <c r="H19" s="399">
        <f t="shared" si="0"/>
        <v>524.70624917255498</v>
      </c>
    </row>
    <row r="20" spans="1:8" x14ac:dyDescent="0.2">
      <c r="A20" s="363"/>
      <c r="B20" s="362"/>
      <c r="C20" s="362"/>
      <c r="D20" s="362"/>
      <c r="E20" s="362"/>
      <c r="F20" s="362"/>
      <c r="G20" s="362"/>
      <c r="H20" s="362"/>
    </row>
    <row r="21" spans="1:8" x14ac:dyDescent="0.2">
      <c r="A21" s="398" t="s">
        <v>301</v>
      </c>
      <c r="B21" s="362"/>
      <c r="C21" s="362"/>
      <c r="D21" s="362"/>
      <c r="E21" s="362"/>
      <c r="F21" s="362"/>
      <c r="G21" s="362"/>
      <c r="H21" s="362"/>
    </row>
    <row r="22" spans="1:8" x14ac:dyDescent="0.2">
      <c r="A22" s="363" t="str">
        <f t="shared" ref="A22:A27" si="1">A8</f>
        <v>Faclitiy 1 - Cleaning &amp; Grading</v>
      </c>
      <c r="B22" s="362">
        <v>0</v>
      </c>
      <c r="C22" s="362">
        <v>0</v>
      </c>
      <c r="D22" s="362">
        <v>0</v>
      </c>
      <c r="E22" s="362">
        <v>0</v>
      </c>
      <c r="F22" s="362">
        <v>0</v>
      </c>
      <c r="G22" s="362">
        <v>0</v>
      </c>
      <c r="H22" s="362">
        <v>0</v>
      </c>
    </row>
    <row r="23" spans="1:8" x14ac:dyDescent="0.2">
      <c r="A23" s="363" t="str">
        <f t="shared" si="1"/>
        <v>Facility 6 - Processing Unit - Horti Commodity</v>
      </c>
      <c r="B23" s="362">
        <f>'17.Facility 6 Horti Processing '!D169</f>
        <v>0</v>
      </c>
      <c r="C23" s="362">
        <f>'17.Facility 6 Horti Processing '!E169</f>
        <v>0</v>
      </c>
      <c r="D23" s="362">
        <f>'17.Facility 6 Horti Processing '!F169</f>
        <v>0</v>
      </c>
      <c r="E23" s="362">
        <f>'17.Facility 6 Horti Processing '!G169</f>
        <v>0</v>
      </c>
      <c r="F23" s="362">
        <f>'17.Facility 6 Horti Processing '!H169</f>
        <v>0</v>
      </c>
      <c r="G23" s="362">
        <f>'17.Facility 6 Horti Processing '!I169</f>
        <v>0</v>
      </c>
      <c r="H23" s="362">
        <f>'17.Facility 6 Horti Processing '!J169</f>
        <v>0</v>
      </c>
    </row>
    <row r="24" spans="1:8" x14ac:dyDescent="0.2">
      <c r="A24" s="363" t="str">
        <f t="shared" si="1"/>
        <v>Faclitiy 3 - Warehouse</v>
      </c>
      <c r="B24" s="362">
        <f>'14. Facility 3 Warehouse'!D34</f>
        <v>0</v>
      </c>
      <c r="C24" s="362">
        <f>'14. Facility 3 Warehouse'!E34</f>
        <v>0</v>
      </c>
      <c r="D24" s="362">
        <f>'14. Facility 3 Warehouse'!F34</f>
        <v>0</v>
      </c>
      <c r="E24" s="362">
        <f>'14. Facility 3 Warehouse'!G34</f>
        <v>0</v>
      </c>
      <c r="F24" s="362">
        <f>'14. Facility 3 Warehouse'!H34</f>
        <v>0</v>
      </c>
      <c r="G24" s="362">
        <f>'14. Facility 3 Warehouse'!I34</f>
        <v>0</v>
      </c>
      <c r="H24" s="362">
        <f>'14. Facility 3 Warehouse'!J34</f>
        <v>0</v>
      </c>
    </row>
    <row r="25" spans="1:8" x14ac:dyDescent="0.2">
      <c r="A25" s="363" t="str">
        <f t="shared" si="1"/>
        <v xml:space="preserve">Faclitiy 4 - Custom Hiring </v>
      </c>
      <c r="B25" s="362">
        <f>'15. Facility 4 Custom Hiring'!E49</f>
        <v>0</v>
      </c>
      <c r="C25" s="362">
        <f>'15. Facility 4 Custom Hiring'!F49</f>
        <v>0</v>
      </c>
      <c r="D25" s="362">
        <f>'15. Facility 4 Custom Hiring'!G49</f>
        <v>0</v>
      </c>
      <c r="E25" s="362">
        <f>'15. Facility 4 Custom Hiring'!H49</f>
        <v>0</v>
      </c>
      <c r="F25" s="362">
        <f>'15. Facility 4 Custom Hiring'!I49</f>
        <v>0</v>
      </c>
      <c r="G25" s="362">
        <f>'15. Facility 4 Custom Hiring'!J49</f>
        <v>0</v>
      </c>
      <c r="H25" s="362">
        <f>'15. Facility 4 Custom Hiring'!K49</f>
        <v>0</v>
      </c>
    </row>
    <row r="26" spans="1:8" x14ac:dyDescent="0.2">
      <c r="A26" s="363" t="str">
        <f t="shared" si="1"/>
        <v>Faclitiy 5 - Agri Input Centre</v>
      </c>
      <c r="B26" s="362">
        <v>0</v>
      </c>
      <c r="C26" s="362">
        <v>0</v>
      </c>
      <c r="D26" s="362">
        <v>0</v>
      </c>
      <c r="E26" s="362">
        <v>0</v>
      </c>
      <c r="F26" s="362">
        <v>0</v>
      </c>
      <c r="G26" s="362">
        <v>0</v>
      </c>
      <c r="H26" s="362">
        <v>0</v>
      </c>
    </row>
    <row r="27" spans="1:8" x14ac:dyDescent="0.2">
      <c r="A27" s="363" t="str">
        <f t="shared" si="1"/>
        <v>Faclitiy 2 - Processing Unit- Oil Mill</v>
      </c>
      <c r="B27" s="362">
        <f>'13.Facility 2 Grain Processing-'!D109</f>
        <v>188.27216024999998</v>
      </c>
      <c r="C27" s="362">
        <f>'13.Facility 2 Grain Processing-'!E109</f>
        <v>219.32260249999999</v>
      </c>
      <c r="D27" s="362">
        <f>'13.Facility 2 Grain Processing-'!F109</f>
        <v>253.14285475</v>
      </c>
      <c r="E27" s="362">
        <f>'13.Facility 2 Grain Processing-'!G109</f>
        <v>289.76320366666658</v>
      </c>
      <c r="F27" s="362">
        <f>'13.Facility 2 Grain Processing-'!H109</f>
        <v>329.20692924999997</v>
      </c>
      <c r="G27" s="362">
        <f>'13.Facility 2 Grain Processing-'!I109</f>
        <v>371.83707149999998</v>
      </c>
      <c r="H27" s="362">
        <f>'13.Facility 2 Grain Processing-'!J109</f>
        <v>418.51902041666671</v>
      </c>
    </row>
    <row r="28" spans="1:8" x14ac:dyDescent="0.2">
      <c r="A28" s="363"/>
      <c r="B28" s="362"/>
      <c r="C28" s="362"/>
      <c r="D28" s="362"/>
      <c r="E28" s="362"/>
      <c r="F28" s="362"/>
      <c r="G28" s="362"/>
      <c r="H28" s="362"/>
    </row>
    <row r="29" spans="1:8" x14ac:dyDescent="0.2">
      <c r="A29" s="398" t="s">
        <v>308</v>
      </c>
      <c r="B29" s="399">
        <f>SUM(B22:B28)</f>
        <v>188.27216024999998</v>
      </c>
      <c r="C29" s="399">
        <f t="shared" ref="C29:H29" si="2">SUM(C22:C28)</f>
        <v>219.32260249999999</v>
      </c>
      <c r="D29" s="399">
        <f t="shared" si="2"/>
        <v>253.14285475</v>
      </c>
      <c r="E29" s="399">
        <f t="shared" si="2"/>
        <v>289.76320366666658</v>
      </c>
      <c r="F29" s="399">
        <f t="shared" si="2"/>
        <v>329.20692924999997</v>
      </c>
      <c r="G29" s="399">
        <f t="shared" si="2"/>
        <v>371.83707149999998</v>
      </c>
      <c r="H29" s="399">
        <f t="shared" si="2"/>
        <v>418.51902041666671</v>
      </c>
    </row>
    <row r="30" spans="1:8" x14ac:dyDescent="0.2">
      <c r="A30" s="363"/>
      <c r="B30" s="362"/>
      <c r="C30" s="362"/>
      <c r="D30" s="362"/>
      <c r="E30" s="362"/>
      <c r="F30" s="362"/>
      <c r="G30" s="362"/>
      <c r="H30" s="362"/>
    </row>
    <row r="31" spans="1:8" x14ac:dyDescent="0.2">
      <c r="A31" s="398" t="s">
        <v>299</v>
      </c>
      <c r="B31" s="362"/>
      <c r="C31" s="362"/>
      <c r="D31" s="362"/>
      <c r="E31" s="362"/>
      <c r="F31" s="362"/>
      <c r="G31" s="362"/>
      <c r="H31" s="362"/>
    </row>
    <row r="32" spans="1:8" x14ac:dyDescent="0.2">
      <c r="A32" s="363" t="str">
        <f t="shared" ref="A32:A37" si="3">A22</f>
        <v>Faclitiy 1 - Cleaning &amp; Grading</v>
      </c>
      <c r="B32" s="362">
        <f>'12.Facility 1 - Trading'!D301</f>
        <v>0</v>
      </c>
      <c r="C32" s="362">
        <f>'12.Facility 1 - Trading'!E301</f>
        <v>0</v>
      </c>
      <c r="D32" s="362">
        <f>'12.Facility 1 - Trading'!F301</f>
        <v>0</v>
      </c>
      <c r="E32" s="362">
        <f>'12.Facility 1 - Trading'!G301</f>
        <v>0</v>
      </c>
      <c r="F32" s="362">
        <f>'12.Facility 1 - Trading'!H301</f>
        <v>0</v>
      </c>
      <c r="G32" s="362">
        <f>'12.Facility 1 - Trading'!I301</f>
        <v>0</v>
      </c>
      <c r="H32" s="362">
        <f>'12.Facility 1 - Trading'!J301</f>
        <v>0</v>
      </c>
    </row>
    <row r="33" spans="1:8" x14ac:dyDescent="0.2">
      <c r="A33" s="363" t="str">
        <f t="shared" si="3"/>
        <v>Facility 6 - Processing Unit - Horti Commodity</v>
      </c>
      <c r="B33" s="362">
        <f>'17.Facility 6 Horti Processing '!D177</f>
        <v>0</v>
      </c>
      <c r="C33" s="362">
        <f>'17.Facility 6 Horti Processing '!E177</f>
        <v>0</v>
      </c>
      <c r="D33" s="362">
        <f>'17.Facility 6 Horti Processing '!F177</f>
        <v>0</v>
      </c>
      <c r="E33" s="362">
        <f>'17.Facility 6 Horti Processing '!G177</f>
        <v>0</v>
      </c>
      <c r="F33" s="362">
        <f>'17.Facility 6 Horti Processing '!H177</f>
        <v>0</v>
      </c>
      <c r="G33" s="362">
        <f>'17.Facility 6 Horti Processing '!I177</f>
        <v>0</v>
      </c>
      <c r="H33" s="362">
        <f>'17.Facility 6 Horti Processing '!J177</f>
        <v>0</v>
      </c>
    </row>
    <row r="34" spans="1:8" x14ac:dyDescent="0.2">
      <c r="A34" s="363" t="str">
        <f t="shared" si="3"/>
        <v>Faclitiy 3 - Warehouse</v>
      </c>
      <c r="B34" s="362">
        <f>'14. Facility 3 Warehouse'!D43</f>
        <v>0</v>
      </c>
      <c r="C34" s="362">
        <f>'14. Facility 3 Warehouse'!E43</f>
        <v>0</v>
      </c>
      <c r="D34" s="362">
        <f>'14. Facility 3 Warehouse'!F43</f>
        <v>0</v>
      </c>
      <c r="E34" s="362">
        <f>'14. Facility 3 Warehouse'!G43</f>
        <v>0</v>
      </c>
      <c r="F34" s="362">
        <f>'14. Facility 3 Warehouse'!H43</f>
        <v>0</v>
      </c>
      <c r="G34" s="362">
        <f>'14. Facility 3 Warehouse'!I43</f>
        <v>0</v>
      </c>
      <c r="H34" s="362">
        <f>'14. Facility 3 Warehouse'!J43</f>
        <v>0</v>
      </c>
    </row>
    <row r="35" spans="1:8" x14ac:dyDescent="0.2">
      <c r="A35" s="363" t="str">
        <f t="shared" si="3"/>
        <v xml:space="preserve">Faclitiy 4 - Custom Hiring </v>
      </c>
      <c r="B35" s="362">
        <f>'15. Facility 4 Custom Hiring'!E56</f>
        <v>0</v>
      </c>
      <c r="C35" s="362">
        <f>'15. Facility 4 Custom Hiring'!F56</f>
        <v>0</v>
      </c>
      <c r="D35" s="362">
        <f>'15. Facility 4 Custom Hiring'!G56</f>
        <v>0</v>
      </c>
      <c r="E35" s="362">
        <f>'15. Facility 4 Custom Hiring'!H56</f>
        <v>0</v>
      </c>
      <c r="F35" s="362">
        <f>'15. Facility 4 Custom Hiring'!I56</f>
        <v>0</v>
      </c>
      <c r="G35" s="362">
        <f>'15. Facility 4 Custom Hiring'!J56</f>
        <v>0</v>
      </c>
      <c r="H35" s="362">
        <f>'15. Facility 4 Custom Hiring'!K56</f>
        <v>0</v>
      </c>
    </row>
    <row r="36" spans="1:8" x14ac:dyDescent="0.2">
      <c r="A36" s="363" t="str">
        <f t="shared" si="3"/>
        <v>Faclitiy 5 - Agri Input Centre</v>
      </c>
      <c r="B36" s="362">
        <f>'16.Facility 5 Agri Input'!D273</f>
        <v>0</v>
      </c>
      <c r="C36" s="362">
        <f>'16.Facility 5 Agri Input'!E273</f>
        <v>0</v>
      </c>
      <c r="D36" s="362">
        <f>'16.Facility 5 Agri Input'!F273</f>
        <v>0</v>
      </c>
      <c r="E36" s="362">
        <f>'16.Facility 5 Agri Input'!G273</f>
        <v>0</v>
      </c>
      <c r="F36" s="362">
        <f>'16.Facility 5 Agri Input'!H273</f>
        <v>0</v>
      </c>
      <c r="G36" s="362">
        <f>'16.Facility 5 Agri Input'!I273</f>
        <v>0</v>
      </c>
      <c r="H36" s="362">
        <f>'16.Facility 5 Agri Input'!J273</f>
        <v>0</v>
      </c>
    </row>
    <row r="37" spans="1:8" x14ac:dyDescent="0.2">
      <c r="A37" s="363" t="str">
        <f t="shared" si="3"/>
        <v>Faclitiy 2 - Processing Unit- Oil Mill</v>
      </c>
      <c r="B37" s="362">
        <f>'13.Facility 2 Grain Processing-'!D118</f>
        <v>9.1289715000000005</v>
      </c>
      <c r="C37" s="362">
        <f>'13.Facility 2 Grain Processing-'!E118</f>
        <v>9.5854200750000018</v>
      </c>
      <c r="D37" s="362">
        <f>'13.Facility 2 Grain Processing-'!F118</f>
        <v>10.06469107875</v>
      </c>
      <c r="E37" s="362">
        <f>'13.Facility 2 Grain Processing-'!G118</f>
        <v>10.567925632687501</v>
      </c>
      <c r="F37" s="362">
        <f>'13.Facility 2 Grain Processing-'!H118</f>
        <v>11.096321914321878</v>
      </c>
      <c r="G37" s="362">
        <f>'13.Facility 2 Grain Processing-'!I118</f>
        <v>11.651138010037974</v>
      </c>
      <c r="H37" s="362">
        <f>'13.Facility 2 Grain Processing-'!J118</f>
        <v>12.233694910539871</v>
      </c>
    </row>
    <row r="38" spans="1:8" x14ac:dyDescent="0.2">
      <c r="A38" s="363"/>
      <c r="B38" s="362"/>
      <c r="C38" s="362"/>
      <c r="D38" s="362"/>
      <c r="E38" s="362"/>
      <c r="F38" s="362"/>
      <c r="G38" s="362"/>
      <c r="H38" s="362"/>
    </row>
    <row r="39" spans="1:8" x14ac:dyDescent="0.2">
      <c r="A39" s="363" t="s">
        <v>9</v>
      </c>
      <c r="B39" s="362">
        <f>+'3.Other Exp &amp; Taxes'!C18</f>
        <v>8.3759999999999994</v>
      </c>
      <c r="C39" s="362">
        <f>+'3.Other Exp &amp; Taxes'!D18</f>
        <v>8.7933000000000003</v>
      </c>
      <c r="D39" s="362">
        <f>+'3.Other Exp &amp; Taxes'!E18</f>
        <v>9.231465</v>
      </c>
      <c r="E39" s="362">
        <f>+'3.Other Exp &amp; Taxes'!F18</f>
        <v>9.6915382500000025</v>
      </c>
      <c r="F39" s="362">
        <f>+'3.Other Exp &amp; Taxes'!G18</f>
        <v>10.174615162500002</v>
      </c>
      <c r="G39" s="362">
        <f>+'3.Other Exp &amp; Taxes'!H18</f>
        <v>10.681845920625005</v>
      </c>
      <c r="H39" s="362">
        <f>+'3.Other Exp &amp; Taxes'!I18</f>
        <v>11.214438216656253</v>
      </c>
    </row>
    <row r="40" spans="1:8" x14ac:dyDescent="0.2">
      <c r="A40" s="398" t="s">
        <v>312</v>
      </c>
      <c r="B40" s="399">
        <f t="shared" ref="B40:H40" si="4">SUM(B32:B39)</f>
        <v>17.5049715</v>
      </c>
      <c r="C40" s="399">
        <f t="shared" si="4"/>
        <v>18.378720075000004</v>
      </c>
      <c r="D40" s="399">
        <f t="shared" si="4"/>
        <v>19.296156078750002</v>
      </c>
      <c r="E40" s="399">
        <f t="shared" si="4"/>
        <v>20.259463882687506</v>
      </c>
      <c r="F40" s="399">
        <f t="shared" si="4"/>
        <v>21.27093707682188</v>
      </c>
      <c r="G40" s="399">
        <f t="shared" si="4"/>
        <v>22.332983930662976</v>
      </c>
      <c r="H40" s="399">
        <f t="shared" si="4"/>
        <v>23.448133127196122</v>
      </c>
    </row>
    <row r="41" spans="1:8" x14ac:dyDescent="0.2">
      <c r="A41" s="363"/>
      <c r="B41" s="362"/>
      <c r="C41" s="362"/>
      <c r="D41" s="362"/>
      <c r="E41" s="362"/>
      <c r="F41" s="362"/>
      <c r="G41" s="362"/>
      <c r="H41" s="362"/>
    </row>
    <row r="42" spans="1:8" x14ac:dyDescent="0.2">
      <c r="A42" s="398" t="s">
        <v>316</v>
      </c>
      <c r="B42" s="399">
        <f t="shared" ref="B42:H42" si="5">B29+B40</f>
        <v>205.77713175</v>
      </c>
      <c r="C42" s="399">
        <f t="shared" si="5"/>
        <v>237.70132257500001</v>
      </c>
      <c r="D42" s="399">
        <f t="shared" si="5"/>
        <v>272.43901082874999</v>
      </c>
      <c r="E42" s="399">
        <f t="shared" si="5"/>
        <v>310.02266754935408</v>
      </c>
      <c r="F42" s="399">
        <f t="shared" si="5"/>
        <v>350.47786632682187</v>
      </c>
      <c r="G42" s="399">
        <f t="shared" si="5"/>
        <v>394.17005543066296</v>
      </c>
      <c r="H42" s="399">
        <f t="shared" si="5"/>
        <v>441.96715354386282</v>
      </c>
    </row>
    <row r="43" spans="1:8" x14ac:dyDescent="0.2">
      <c r="A43" s="363"/>
      <c r="B43" s="362"/>
      <c r="C43" s="362"/>
      <c r="D43" s="362"/>
      <c r="E43" s="362"/>
      <c r="F43" s="362"/>
      <c r="G43" s="362"/>
      <c r="H43" s="362"/>
    </row>
    <row r="44" spans="1:8" x14ac:dyDescent="0.2">
      <c r="A44" s="398" t="s">
        <v>132</v>
      </c>
      <c r="B44" s="399">
        <f t="shared" ref="B44:H44" si="6">B19-B42</f>
        <v>25.81235436111109</v>
      </c>
      <c r="C44" s="399">
        <f t="shared" si="6"/>
        <v>32.773948258333348</v>
      </c>
      <c r="D44" s="399">
        <f t="shared" si="6"/>
        <v>41.197224449027829</v>
      </c>
      <c r="E44" s="399">
        <f t="shared" si="6"/>
        <v>52.089655506201495</v>
      </c>
      <c r="F44" s="399">
        <f t="shared" si="6"/>
        <v>59.343321007668919</v>
      </c>
      <c r="G44" s="399">
        <f t="shared" si="6"/>
        <v>69.828995706258297</v>
      </c>
      <c r="H44" s="399">
        <f t="shared" si="6"/>
        <v>82.739095628692155</v>
      </c>
    </row>
    <row r="45" spans="1:8" x14ac:dyDescent="0.2">
      <c r="A45" s="363"/>
      <c r="B45" s="362"/>
      <c r="C45" s="362"/>
      <c r="D45" s="362"/>
      <c r="E45" s="362"/>
      <c r="F45" s="362"/>
      <c r="G45" s="362"/>
      <c r="H45" s="362"/>
    </row>
    <row r="46" spans="1:8" x14ac:dyDescent="0.2">
      <c r="A46" s="400" t="s">
        <v>16</v>
      </c>
      <c r="B46" s="362">
        <f>'3.Other Exp &amp; Taxes'!C58</f>
        <v>5.4963037300000002</v>
      </c>
      <c r="C46" s="362">
        <f>'3.Other Exp &amp; Taxes'!D58</f>
        <v>5.4963037300000002</v>
      </c>
      <c r="D46" s="362">
        <f>'3.Other Exp &amp; Taxes'!E58</f>
        <v>5.4963037300000002</v>
      </c>
      <c r="E46" s="362">
        <f>'3.Other Exp &amp; Taxes'!F58</f>
        <v>5.4963037300000002</v>
      </c>
      <c r="F46" s="362">
        <f>'3.Other Exp &amp; Taxes'!G58</f>
        <v>5.4963037300000002</v>
      </c>
      <c r="G46" s="362">
        <f>'3.Other Exp &amp; Taxes'!H58</f>
        <v>5.4963037300000002</v>
      </c>
      <c r="H46" s="362">
        <f>'3.Other Exp &amp; Taxes'!I58</f>
        <v>5.4963037300000002</v>
      </c>
    </row>
    <row r="47" spans="1:8" x14ac:dyDescent="0.2">
      <c r="A47" s="400" t="s">
        <v>133</v>
      </c>
      <c r="B47" s="362">
        <f>'3.Other Exp &amp; Taxes'!C78</f>
        <v>1.0099864285714286</v>
      </c>
      <c r="C47" s="362">
        <f>'3.Other Exp &amp; Taxes'!D78</f>
        <v>1.0099864285714286</v>
      </c>
      <c r="D47" s="362">
        <f>'3.Other Exp &amp; Taxes'!E78</f>
        <v>1.0099864285714286</v>
      </c>
      <c r="E47" s="362">
        <f>'3.Other Exp &amp; Taxes'!F78</f>
        <v>1.0099864285714286</v>
      </c>
      <c r="F47" s="362">
        <f>'3.Other Exp &amp; Taxes'!G78</f>
        <v>1.0099864285714286</v>
      </c>
      <c r="G47" s="362">
        <f>'3.Other Exp &amp; Taxes'!H78</f>
        <v>1.0099864285714286</v>
      </c>
      <c r="H47" s="362">
        <f>'3.Other Exp &amp; Taxes'!I78</f>
        <v>1.0099864285714286</v>
      </c>
    </row>
    <row r="48" spans="1:8" x14ac:dyDescent="0.2">
      <c r="A48" s="363"/>
      <c r="B48" s="362"/>
      <c r="C48" s="362"/>
      <c r="D48" s="362"/>
      <c r="E48" s="362"/>
      <c r="F48" s="362"/>
      <c r="G48" s="362"/>
      <c r="H48" s="362"/>
    </row>
    <row r="49" spans="1:9" x14ac:dyDescent="0.2">
      <c r="A49" s="398" t="s">
        <v>134</v>
      </c>
      <c r="B49" s="399">
        <f>B44-B46-B47</f>
        <v>19.306064202539659</v>
      </c>
      <c r="C49" s="399">
        <f t="shared" ref="C49:H49" si="7">C44-C46-C47</f>
        <v>26.267658099761917</v>
      </c>
      <c r="D49" s="399">
        <f t="shared" si="7"/>
        <v>34.690934290456397</v>
      </c>
      <c r="E49" s="399">
        <f t="shared" si="7"/>
        <v>45.583365347630064</v>
      </c>
      <c r="F49" s="399">
        <f t="shared" si="7"/>
        <v>52.837030849097488</v>
      </c>
      <c r="G49" s="399">
        <f t="shared" si="7"/>
        <v>63.322705547686873</v>
      </c>
      <c r="H49" s="399">
        <f t="shared" si="7"/>
        <v>76.232805470120738</v>
      </c>
    </row>
    <row r="50" spans="1:9" x14ac:dyDescent="0.2">
      <c r="A50" s="363"/>
      <c r="B50" s="362"/>
      <c r="C50" s="362"/>
      <c r="D50" s="362"/>
      <c r="E50" s="362"/>
      <c r="F50" s="362"/>
      <c r="G50" s="362"/>
      <c r="H50" s="362"/>
    </row>
    <row r="51" spans="1:9" x14ac:dyDescent="0.2">
      <c r="A51" s="363" t="s">
        <v>23</v>
      </c>
      <c r="B51" s="362">
        <f>+SUM('4.TL repayment sch'!D10:D21)</f>
        <v>2.603779167534269</v>
      </c>
      <c r="C51" s="362">
        <f>+SUM('4.TL repayment sch'!D22:D33)</f>
        <v>2.0193371979630812</v>
      </c>
      <c r="D51" s="362">
        <f>+SUM('4.TL repayment sch'!D34:D45)</f>
        <v>1.2780459446005072</v>
      </c>
      <c r="E51" s="362">
        <f>+SUM('4.TL repayment sch'!D46:D57)</f>
        <v>0.46721645848935545</v>
      </c>
      <c r="F51" s="362">
        <f>+SUM('4.TL repayment sch'!D58:D69)</f>
        <v>2.3980817331903381E-14</v>
      </c>
      <c r="G51" s="362">
        <f>+SUM('4.TL repayment sch'!D70:D81)</f>
        <v>2.3980817331903381E-14</v>
      </c>
      <c r="H51" s="362">
        <f>+SUM('4.TL repayment sch'!D82:D93)</f>
        <v>2.3980817331903381E-14</v>
      </c>
    </row>
    <row r="52" spans="1:9" x14ac:dyDescent="0.2">
      <c r="A52" s="363" t="s">
        <v>804</v>
      </c>
      <c r="B52" s="362">
        <f>+'5.Closing Stock &amp; W Capital'!E56*9%</f>
        <v>0.72654377713541662</v>
      </c>
      <c r="C52" s="362">
        <f>+'5.Closing Stock &amp; W Capital'!F56*9%</f>
        <v>1.2507766230156252</v>
      </c>
      <c r="D52" s="362">
        <f>+'5.Closing Stock &amp; W Capital'!G56*9%</f>
        <v>1.8624534239841151</v>
      </c>
      <c r="E52" s="362">
        <f>+'5.Closing Stock &amp; W Capital'!H56*9%</f>
        <v>2.5980675361807162</v>
      </c>
      <c r="F52" s="362">
        <f>+'5.Closing Stock &amp; W Capital'!I56*9%</f>
        <v>3.4215167587931372</v>
      </c>
      <c r="G52" s="362">
        <f>+'5.Closing Stock &amp; W Capital'!J56*9%</f>
        <v>4.3847099498060365</v>
      </c>
      <c r="H52" s="362">
        <f>+'5.Closing Stock &amp; W Capital'!K56*9%</f>
        <v>5.5088169181197273</v>
      </c>
    </row>
    <row r="53" spans="1:9" x14ac:dyDescent="0.2">
      <c r="A53" s="363"/>
      <c r="B53" s="362"/>
      <c r="C53" s="362"/>
      <c r="D53" s="362"/>
      <c r="E53" s="362"/>
      <c r="F53" s="362"/>
      <c r="G53" s="362"/>
      <c r="H53" s="362"/>
    </row>
    <row r="54" spans="1:9" x14ac:dyDescent="0.2">
      <c r="A54" s="363" t="s">
        <v>24</v>
      </c>
      <c r="B54" s="362">
        <f>B49-B51-B52</f>
        <v>15.975741257869972</v>
      </c>
      <c r="C54" s="362">
        <f t="shared" ref="C54:H54" si="8">C49-C51-C52</f>
        <v>22.997544278783209</v>
      </c>
      <c r="D54" s="362">
        <f t="shared" si="8"/>
        <v>31.550434921871776</v>
      </c>
      <c r="E54" s="362">
        <f t="shared" si="8"/>
        <v>42.518081352959996</v>
      </c>
      <c r="F54" s="362">
        <f t="shared" si="8"/>
        <v>49.415514090304328</v>
      </c>
      <c r="G54" s="362">
        <f t="shared" si="8"/>
        <v>58.937995597880814</v>
      </c>
      <c r="H54" s="362">
        <f t="shared" si="8"/>
        <v>70.723988552000975</v>
      </c>
    </row>
    <row r="55" spans="1:9" x14ac:dyDescent="0.2">
      <c r="A55" s="363" t="s">
        <v>25</v>
      </c>
      <c r="B55" s="362">
        <f>'3.Other Exp &amp; Taxes'!B91</f>
        <v>1.4892357968461925</v>
      </c>
      <c r="C55" s="362">
        <f>'3.Other Exp &amp; Taxes'!C91</f>
        <v>3.7868259672836344</v>
      </c>
      <c r="D55" s="362">
        <f>'3.Other Exp &amp; Taxes'!D91</f>
        <v>6.4259210117366612</v>
      </c>
      <c r="E55" s="362">
        <f>'3.Other Exp &amp; Taxes'!E91</f>
        <v>9.6433403094820989</v>
      </c>
      <c r="F55" s="362">
        <f>'3.Other Exp &amp; Taxes'!F91</f>
        <v>11.759139706004751</v>
      </c>
      <c r="G55" s="362">
        <f>'3.Other Exp &amp; Taxes'!G91</f>
        <v>14.519441058765791</v>
      </c>
      <c r="H55" s="362">
        <f>'3.Other Exp &amp; Taxes'!H91</f>
        <v>17.834910341339516</v>
      </c>
    </row>
    <row r="56" spans="1:9" x14ac:dyDescent="0.2">
      <c r="A56" s="398" t="s">
        <v>27</v>
      </c>
      <c r="B56" s="362">
        <f>B54-B55</f>
        <v>14.486505461023778</v>
      </c>
      <c r="C56" s="362">
        <f>C54-C55</f>
        <v>19.210718311499576</v>
      </c>
      <c r="D56" s="362">
        <f>D54-D55</f>
        <v>25.124513910135114</v>
      </c>
      <c r="E56" s="362">
        <f>E54-E55</f>
        <v>32.874741043477897</v>
      </c>
      <c r="F56" s="362">
        <f>F54-F55</f>
        <v>37.656374384299575</v>
      </c>
      <c r="G56" s="362">
        <f t="shared" ref="G56:H56" si="9">G54-G55</f>
        <v>44.418554539115021</v>
      </c>
      <c r="H56" s="362">
        <f t="shared" si="9"/>
        <v>52.889078210661459</v>
      </c>
    </row>
    <row r="57" spans="1:9" ht="25.5" x14ac:dyDescent="0.2">
      <c r="A57" s="645" t="s">
        <v>948</v>
      </c>
      <c r="B57" s="362">
        <f>+B56*0.4</f>
        <v>5.7946021844095119</v>
      </c>
      <c r="C57" s="362">
        <f t="shared" ref="C57:H57" si="10">+C56*0.4</f>
        <v>7.6842873245998309</v>
      </c>
      <c r="D57" s="362">
        <f t="shared" si="10"/>
        <v>10.049805564054047</v>
      </c>
      <c r="E57" s="362">
        <f t="shared" si="10"/>
        <v>13.14989641739116</v>
      </c>
      <c r="F57" s="362">
        <f t="shared" si="10"/>
        <v>15.06254975371983</v>
      </c>
      <c r="G57" s="362">
        <f t="shared" si="10"/>
        <v>17.76742181564601</v>
      </c>
      <c r="H57" s="362">
        <f t="shared" si="10"/>
        <v>21.155631284264587</v>
      </c>
    </row>
    <row r="58" spans="1:9" x14ac:dyDescent="0.2">
      <c r="A58" s="398" t="s">
        <v>946</v>
      </c>
      <c r="B58" s="399">
        <f>+B56-B57</f>
        <v>8.6919032766142656</v>
      </c>
      <c r="C58" s="399">
        <f t="shared" ref="C58:H58" si="11">+C56-C57</f>
        <v>11.526430986899745</v>
      </c>
      <c r="D58" s="399">
        <f t="shared" si="11"/>
        <v>15.074708346081067</v>
      </c>
      <c r="E58" s="399">
        <f t="shared" si="11"/>
        <v>19.724844626086735</v>
      </c>
      <c r="F58" s="399">
        <f t="shared" si="11"/>
        <v>22.593824630579746</v>
      </c>
      <c r="G58" s="399">
        <f t="shared" si="11"/>
        <v>26.651132723469011</v>
      </c>
      <c r="H58" s="399">
        <f t="shared" si="11"/>
        <v>31.733446926396873</v>
      </c>
    </row>
    <row r="59" spans="1:9" x14ac:dyDescent="0.2">
      <c r="A59" s="363" t="s">
        <v>473</v>
      </c>
      <c r="B59" s="362">
        <f>+B58</f>
        <v>8.6919032766142656</v>
      </c>
      <c r="C59" s="362">
        <f t="shared" ref="C59:H59" si="12">B59+C58</f>
        <v>20.218334263514009</v>
      </c>
      <c r="D59" s="362">
        <f t="shared" si="12"/>
        <v>35.293042609595076</v>
      </c>
      <c r="E59" s="362">
        <f t="shared" si="12"/>
        <v>55.017887235681812</v>
      </c>
      <c r="F59" s="362">
        <f t="shared" si="12"/>
        <v>77.611711866261558</v>
      </c>
      <c r="G59" s="362">
        <f t="shared" si="12"/>
        <v>104.26284458973058</v>
      </c>
      <c r="H59" s="362">
        <f t="shared" si="12"/>
        <v>135.99629151612746</v>
      </c>
    </row>
    <row r="60" spans="1:9" x14ac:dyDescent="0.2">
      <c r="A60" s="93"/>
      <c r="B60" s="401"/>
      <c r="C60" s="401"/>
      <c r="D60" s="401"/>
      <c r="E60" s="401"/>
      <c r="F60" s="401"/>
      <c r="G60" s="401"/>
      <c r="H60" s="401"/>
    </row>
    <row r="61" spans="1:9" s="644" customFormat="1" ht="43.5" customHeight="1" x14ac:dyDescent="0.2">
      <c r="A61" s="734" t="s">
        <v>950</v>
      </c>
      <c r="B61" s="734"/>
      <c r="C61" s="734"/>
      <c r="D61" s="734"/>
      <c r="E61" s="734"/>
      <c r="F61" s="734"/>
      <c r="G61" s="734"/>
      <c r="H61" s="734"/>
    </row>
    <row r="62" spans="1:9" ht="31.5" customHeight="1" x14ac:dyDescent="0.2">
      <c r="A62" s="735" t="s">
        <v>949</v>
      </c>
      <c r="B62" s="735"/>
      <c r="C62" s="735"/>
      <c r="D62" s="735"/>
      <c r="E62" s="735"/>
      <c r="F62" s="735"/>
      <c r="G62" s="735"/>
      <c r="H62" s="735"/>
    </row>
    <row r="63" spans="1:9" x14ac:dyDescent="0.2">
      <c r="A63" s="643"/>
      <c r="B63" s="643"/>
      <c r="C63" s="643"/>
      <c r="D63" s="643"/>
      <c r="E63" s="643"/>
      <c r="F63" s="643"/>
      <c r="G63" s="643"/>
      <c r="H63" s="643"/>
    </row>
    <row r="64" spans="1:9" ht="32.450000000000003" customHeight="1" x14ac:dyDescent="0.2">
      <c r="A64" s="733" t="s">
        <v>391</v>
      </c>
      <c r="B64" s="733"/>
      <c r="C64" s="733"/>
      <c r="D64" s="733"/>
      <c r="E64" s="733"/>
      <c r="F64" s="733"/>
      <c r="G64" s="733"/>
      <c r="H64" s="733"/>
      <c r="I64" s="608"/>
    </row>
    <row r="66" spans="1:1" x14ac:dyDescent="0.2">
      <c r="A66" s="402"/>
    </row>
  </sheetData>
  <mergeCells count="4">
    <mergeCell ref="A2:H2"/>
    <mergeCell ref="A64:H64"/>
    <mergeCell ref="A61:H61"/>
    <mergeCell ref="A62:H62"/>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1"/>
  <sheetViews>
    <sheetView view="pageBreakPreview" topLeftCell="A27" zoomScale="80" zoomScaleSheetLayoutView="80" workbookViewId="0" xr3:uid="{85D5C41F-068E-5C55-9968-509E7C2A5619}">
      <selection activeCell="A4" sqref="A4:H49"/>
    </sheetView>
  </sheetViews>
  <sheetFormatPr defaultRowHeight="15" x14ac:dyDescent="0.2"/>
  <cols>
    <col min="1" max="1" width="37.26171875" style="44" customWidth="1"/>
    <col min="2" max="2" width="18.4296875" style="44" bestFit="1" customWidth="1"/>
    <col min="3" max="3" width="12.375" style="44" bestFit="1" customWidth="1"/>
    <col min="4" max="6" width="13.5859375" style="44" bestFit="1" customWidth="1"/>
    <col min="7" max="8" width="12.375" style="44" bestFit="1" customWidth="1"/>
    <col min="9" max="9" width="9.14453125" style="44"/>
    <col min="10" max="10" width="32.8203125" style="44" bestFit="1" customWidth="1"/>
    <col min="11" max="11" width="8.7421875" style="44" customWidth="1"/>
    <col min="12" max="16" width="8.7421875" style="44" bestFit="1"/>
    <col min="17" max="17" width="10.0859375" style="44" bestFit="1" customWidth="1"/>
    <col min="18" max="256" width="9.14453125" style="44"/>
    <col min="257" max="257" width="37.26171875" style="44" customWidth="1"/>
    <col min="258" max="258" width="18.4296875" style="44" bestFit="1" customWidth="1"/>
    <col min="259" max="262" width="12.375" style="44" bestFit="1" customWidth="1"/>
    <col min="263" max="263" width="11.703125" style="44" bestFit="1" customWidth="1"/>
    <col min="264" max="512" width="9.14453125" style="44"/>
    <col min="513" max="513" width="37.26171875" style="44" customWidth="1"/>
    <col min="514" max="514" width="18.4296875" style="44" bestFit="1" customWidth="1"/>
    <col min="515" max="518" width="12.375" style="44" bestFit="1" customWidth="1"/>
    <col min="519" max="519" width="11.703125" style="44" bestFit="1" customWidth="1"/>
    <col min="520" max="768" width="9.14453125" style="44"/>
    <col min="769" max="769" width="37.26171875" style="44" customWidth="1"/>
    <col min="770" max="770" width="18.4296875" style="44" bestFit="1" customWidth="1"/>
    <col min="771" max="774" width="12.375" style="44" bestFit="1" customWidth="1"/>
    <col min="775" max="775" width="11.703125" style="44" bestFit="1" customWidth="1"/>
    <col min="776" max="1024" width="9.14453125" style="44"/>
    <col min="1025" max="1025" width="37.26171875" style="44" customWidth="1"/>
    <col min="1026" max="1026" width="18.4296875" style="44" bestFit="1" customWidth="1"/>
    <col min="1027" max="1030" width="12.375" style="44" bestFit="1" customWidth="1"/>
    <col min="1031" max="1031" width="11.703125" style="44" bestFit="1" customWidth="1"/>
    <col min="1032" max="1280" width="9.14453125" style="44"/>
    <col min="1281" max="1281" width="37.26171875" style="44" customWidth="1"/>
    <col min="1282" max="1282" width="18.4296875" style="44" bestFit="1" customWidth="1"/>
    <col min="1283" max="1286" width="12.375" style="44" bestFit="1" customWidth="1"/>
    <col min="1287" max="1287" width="11.703125" style="44" bestFit="1" customWidth="1"/>
    <col min="1288" max="1536" width="9.14453125" style="44"/>
    <col min="1537" max="1537" width="37.26171875" style="44" customWidth="1"/>
    <col min="1538" max="1538" width="18.4296875" style="44" bestFit="1" customWidth="1"/>
    <col min="1539" max="1542" width="12.375" style="44" bestFit="1" customWidth="1"/>
    <col min="1543" max="1543" width="11.703125" style="44" bestFit="1" customWidth="1"/>
    <col min="1544" max="1792" width="9.14453125" style="44"/>
    <col min="1793" max="1793" width="37.26171875" style="44" customWidth="1"/>
    <col min="1794" max="1794" width="18.4296875" style="44" bestFit="1" customWidth="1"/>
    <col min="1795" max="1798" width="12.375" style="44" bestFit="1" customWidth="1"/>
    <col min="1799" max="1799" width="11.703125" style="44" bestFit="1" customWidth="1"/>
    <col min="1800" max="2048" width="9.14453125" style="44"/>
    <col min="2049" max="2049" width="37.26171875" style="44" customWidth="1"/>
    <col min="2050" max="2050" width="18.4296875" style="44" bestFit="1" customWidth="1"/>
    <col min="2051" max="2054" width="12.375" style="44" bestFit="1" customWidth="1"/>
    <col min="2055" max="2055" width="11.703125" style="44" bestFit="1" customWidth="1"/>
    <col min="2056" max="2304" width="9.14453125" style="44"/>
    <col min="2305" max="2305" width="37.26171875" style="44" customWidth="1"/>
    <col min="2306" max="2306" width="18.4296875" style="44" bestFit="1" customWidth="1"/>
    <col min="2307" max="2310" width="12.375" style="44" bestFit="1" customWidth="1"/>
    <col min="2311" max="2311" width="11.703125" style="44" bestFit="1" customWidth="1"/>
    <col min="2312" max="2560" width="9.14453125" style="44"/>
    <col min="2561" max="2561" width="37.26171875" style="44" customWidth="1"/>
    <col min="2562" max="2562" width="18.4296875" style="44" bestFit="1" customWidth="1"/>
    <col min="2563" max="2566" width="12.375" style="44" bestFit="1" customWidth="1"/>
    <col min="2567" max="2567" width="11.703125" style="44" bestFit="1" customWidth="1"/>
    <col min="2568" max="2816" width="9.14453125" style="44"/>
    <col min="2817" max="2817" width="37.26171875" style="44" customWidth="1"/>
    <col min="2818" max="2818" width="18.4296875" style="44" bestFit="1" customWidth="1"/>
    <col min="2819" max="2822" width="12.375" style="44" bestFit="1" customWidth="1"/>
    <col min="2823" max="2823" width="11.703125" style="44" bestFit="1" customWidth="1"/>
    <col min="2824" max="3072" width="9.14453125" style="44"/>
    <col min="3073" max="3073" width="37.26171875" style="44" customWidth="1"/>
    <col min="3074" max="3074" width="18.4296875" style="44" bestFit="1" customWidth="1"/>
    <col min="3075" max="3078" width="12.375" style="44" bestFit="1" customWidth="1"/>
    <col min="3079" max="3079" width="11.703125" style="44" bestFit="1" customWidth="1"/>
    <col min="3080" max="3328" width="9.14453125" style="44"/>
    <col min="3329" max="3329" width="37.26171875" style="44" customWidth="1"/>
    <col min="3330" max="3330" width="18.4296875" style="44" bestFit="1" customWidth="1"/>
    <col min="3331" max="3334" width="12.375" style="44" bestFit="1" customWidth="1"/>
    <col min="3335" max="3335" width="11.703125" style="44" bestFit="1" customWidth="1"/>
    <col min="3336" max="3584" width="9.14453125" style="44"/>
    <col min="3585" max="3585" width="37.26171875" style="44" customWidth="1"/>
    <col min="3586" max="3586" width="18.4296875" style="44" bestFit="1" customWidth="1"/>
    <col min="3587" max="3590" width="12.375" style="44" bestFit="1" customWidth="1"/>
    <col min="3591" max="3591" width="11.703125" style="44" bestFit="1" customWidth="1"/>
    <col min="3592" max="3840" width="9.14453125" style="44"/>
    <col min="3841" max="3841" width="37.26171875" style="44" customWidth="1"/>
    <col min="3842" max="3842" width="18.4296875" style="44" bestFit="1" customWidth="1"/>
    <col min="3843" max="3846" width="12.375" style="44" bestFit="1" customWidth="1"/>
    <col min="3847" max="3847" width="11.703125" style="44" bestFit="1" customWidth="1"/>
    <col min="3848" max="4096" width="9.14453125" style="44"/>
    <col min="4097" max="4097" width="37.26171875" style="44" customWidth="1"/>
    <col min="4098" max="4098" width="18.4296875" style="44" bestFit="1" customWidth="1"/>
    <col min="4099" max="4102" width="12.375" style="44" bestFit="1" customWidth="1"/>
    <col min="4103" max="4103" width="11.703125" style="44" bestFit="1" customWidth="1"/>
    <col min="4104" max="4352" width="9.14453125" style="44"/>
    <col min="4353" max="4353" width="37.26171875" style="44" customWidth="1"/>
    <col min="4354" max="4354" width="18.4296875" style="44" bestFit="1" customWidth="1"/>
    <col min="4355" max="4358" width="12.375" style="44" bestFit="1" customWidth="1"/>
    <col min="4359" max="4359" width="11.703125" style="44" bestFit="1" customWidth="1"/>
    <col min="4360" max="4608" width="9.14453125" style="44"/>
    <col min="4609" max="4609" width="37.26171875" style="44" customWidth="1"/>
    <col min="4610" max="4610" width="18.4296875" style="44" bestFit="1" customWidth="1"/>
    <col min="4611" max="4614" width="12.375" style="44" bestFit="1" customWidth="1"/>
    <col min="4615" max="4615" width="11.703125" style="44" bestFit="1" customWidth="1"/>
    <col min="4616" max="4864" width="9.14453125" style="44"/>
    <col min="4865" max="4865" width="37.26171875" style="44" customWidth="1"/>
    <col min="4866" max="4866" width="18.4296875" style="44" bestFit="1" customWidth="1"/>
    <col min="4867" max="4870" width="12.375" style="44" bestFit="1" customWidth="1"/>
    <col min="4871" max="4871" width="11.703125" style="44" bestFit="1" customWidth="1"/>
    <col min="4872" max="5120" width="9.14453125" style="44"/>
    <col min="5121" max="5121" width="37.26171875" style="44" customWidth="1"/>
    <col min="5122" max="5122" width="18.4296875" style="44" bestFit="1" customWidth="1"/>
    <col min="5123" max="5126" width="12.375" style="44" bestFit="1" customWidth="1"/>
    <col min="5127" max="5127" width="11.703125" style="44" bestFit="1" customWidth="1"/>
    <col min="5128" max="5376" width="9.14453125" style="44"/>
    <col min="5377" max="5377" width="37.26171875" style="44" customWidth="1"/>
    <col min="5378" max="5378" width="18.4296875" style="44" bestFit="1" customWidth="1"/>
    <col min="5379" max="5382" width="12.375" style="44" bestFit="1" customWidth="1"/>
    <col min="5383" max="5383" width="11.703125" style="44" bestFit="1" customWidth="1"/>
    <col min="5384" max="5632" width="9.14453125" style="44"/>
    <col min="5633" max="5633" width="37.26171875" style="44" customWidth="1"/>
    <col min="5634" max="5634" width="18.4296875" style="44" bestFit="1" customWidth="1"/>
    <col min="5635" max="5638" width="12.375" style="44" bestFit="1" customWidth="1"/>
    <col min="5639" max="5639" width="11.703125" style="44" bestFit="1" customWidth="1"/>
    <col min="5640" max="5888" width="9.14453125" style="44"/>
    <col min="5889" max="5889" width="37.26171875" style="44" customWidth="1"/>
    <col min="5890" max="5890" width="18.4296875" style="44" bestFit="1" customWidth="1"/>
    <col min="5891" max="5894" width="12.375" style="44" bestFit="1" customWidth="1"/>
    <col min="5895" max="5895" width="11.703125" style="44" bestFit="1" customWidth="1"/>
    <col min="5896" max="6144" width="9.14453125" style="44"/>
    <col min="6145" max="6145" width="37.26171875" style="44" customWidth="1"/>
    <col min="6146" max="6146" width="18.4296875" style="44" bestFit="1" customWidth="1"/>
    <col min="6147" max="6150" width="12.375" style="44" bestFit="1" customWidth="1"/>
    <col min="6151" max="6151" width="11.703125" style="44" bestFit="1" customWidth="1"/>
    <col min="6152" max="6400" width="9.14453125" style="44"/>
    <col min="6401" max="6401" width="37.26171875" style="44" customWidth="1"/>
    <col min="6402" max="6402" width="18.4296875" style="44" bestFit="1" customWidth="1"/>
    <col min="6403" max="6406" width="12.375" style="44" bestFit="1" customWidth="1"/>
    <col min="6407" max="6407" width="11.703125" style="44" bestFit="1" customWidth="1"/>
    <col min="6408" max="6656" width="9.14453125" style="44"/>
    <col min="6657" max="6657" width="37.26171875" style="44" customWidth="1"/>
    <col min="6658" max="6658" width="18.4296875" style="44" bestFit="1" customWidth="1"/>
    <col min="6659" max="6662" width="12.375" style="44" bestFit="1" customWidth="1"/>
    <col min="6663" max="6663" width="11.703125" style="44" bestFit="1" customWidth="1"/>
    <col min="6664" max="6912" width="9.14453125" style="44"/>
    <col min="6913" max="6913" width="37.26171875" style="44" customWidth="1"/>
    <col min="6914" max="6914" width="18.4296875" style="44" bestFit="1" customWidth="1"/>
    <col min="6915" max="6918" width="12.375" style="44" bestFit="1" customWidth="1"/>
    <col min="6919" max="6919" width="11.703125" style="44" bestFit="1" customWidth="1"/>
    <col min="6920" max="7168" width="9.14453125" style="44"/>
    <col min="7169" max="7169" width="37.26171875" style="44" customWidth="1"/>
    <col min="7170" max="7170" width="18.4296875" style="44" bestFit="1" customWidth="1"/>
    <col min="7171" max="7174" width="12.375" style="44" bestFit="1" customWidth="1"/>
    <col min="7175" max="7175" width="11.703125" style="44" bestFit="1" customWidth="1"/>
    <col min="7176" max="7424" width="9.14453125" style="44"/>
    <col min="7425" max="7425" width="37.26171875" style="44" customWidth="1"/>
    <col min="7426" max="7426" width="18.4296875" style="44" bestFit="1" customWidth="1"/>
    <col min="7427" max="7430" width="12.375" style="44" bestFit="1" customWidth="1"/>
    <col min="7431" max="7431" width="11.703125" style="44" bestFit="1" customWidth="1"/>
    <col min="7432" max="7680" width="9.14453125" style="44"/>
    <col min="7681" max="7681" width="37.26171875" style="44" customWidth="1"/>
    <col min="7682" max="7682" width="18.4296875" style="44" bestFit="1" customWidth="1"/>
    <col min="7683" max="7686" width="12.375" style="44" bestFit="1" customWidth="1"/>
    <col min="7687" max="7687" width="11.703125" style="44" bestFit="1" customWidth="1"/>
    <col min="7688" max="7936" width="9.14453125" style="44"/>
    <col min="7937" max="7937" width="37.26171875" style="44" customWidth="1"/>
    <col min="7938" max="7938" width="18.4296875" style="44" bestFit="1" customWidth="1"/>
    <col min="7939" max="7942" width="12.375" style="44" bestFit="1" customWidth="1"/>
    <col min="7943" max="7943" width="11.703125" style="44" bestFit="1" customWidth="1"/>
    <col min="7944" max="8192" width="9.14453125" style="44"/>
    <col min="8193" max="8193" width="37.26171875" style="44" customWidth="1"/>
    <col min="8194" max="8194" width="18.4296875" style="44" bestFit="1" customWidth="1"/>
    <col min="8195" max="8198" width="12.375" style="44" bestFit="1" customWidth="1"/>
    <col min="8199" max="8199" width="11.703125" style="44" bestFit="1" customWidth="1"/>
    <col min="8200" max="8448" width="9.14453125" style="44"/>
    <col min="8449" max="8449" width="37.26171875" style="44" customWidth="1"/>
    <col min="8450" max="8450" width="18.4296875" style="44" bestFit="1" customWidth="1"/>
    <col min="8451" max="8454" width="12.375" style="44" bestFit="1" customWidth="1"/>
    <col min="8455" max="8455" width="11.703125" style="44" bestFit="1" customWidth="1"/>
    <col min="8456" max="8704" width="9.14453125" style="44"/>
    <col min="8705" max="8705" width="37.26171875" style="44" customWidth="1"/>
    <col min="8706" max="8706" width="18.4296875" style="44" bestFit="1" customWidth="1"/>
    <col min="8707" max="8710" width="12.375" style="44" bestFit="1" customWidth="1"/>
    <col min="8711" max="8711" width="11.703125" style="44" bestFit="1" customWidth="1"/>
    <col min="8712" max="8960" width="9.14453125" style="44"/>
    <col min="8961" max="8961" width="37.26171875" style="44" customWidth="1"/>
    <col min="8962" max="8962" width="18.4296875" style="44" bestFit="1" customWidth="1"/>
    <col min="8963" max="8966" width="12.375" style="44" bestFit="1" customWidth="1"/>
    <col min="8967" max="8967" width="11.703125" style="44" bestFit="1" customWidth="1"/>
    <col min="8968" max="9216" width="9.14453125" style="44"/>
    <col min="9217" max="9217" width="37.26171875" style="44" customWidth="1"/>
    <col min="9218" max="9218" width="18.4296875" style="44" bestFit="1" customWidth="1"/>
    <col min="9219" max="9222" width="12.375" style="44" bestFit="1" customWidth="1"/>
    <col min="9223" max="9223" width="11.703125" style="44" bestFit="1" customWidth="1"/>
    <col min="9224" max="9472" width="9.14453125" style="44"/>
    <col min="9473" max="9473" width="37.26171875" style="44" customWidth="1"/>
    <col min="9474" max="9474" width="18.4296875" style="44" bestFit="1" customWidth="1"/>
    <col min="9475" max="9478" width="12.375" style="44" bestFit="1" customWidth="1"/>
    <col min="9479" max="9479" width="11.703125" style="44" bestFit="1" customWidth="1"/>
    <col min="9480" max="9728" width="9.14453125" style="44"/>
    <col min="9729" max="9729" width="37.26171875" style="44" customWidth="1"/>
    <col min="9730" max="9730" width="18.4296875" style="44" bestFit="1" customWidth="1"/>
    <col min="9731" max="9734" width="12.375" style="44" bestFit="1" customWidth="1"/>
    <col min="9735" max="9735" width="11.703125" style="44" bestFit="1" customWidth="1"/>
    <col min="9736" max="9984" width="9.14453125" style="44"/>
    <col min="9985" max="9985" width="37.26171875" style="44" customWidth="1"/>
    <col min="9986" max="9986" width="18.4296875" style="44" bestFit="1" customWidth="1"/>
    <col min="9987" max="9990" width="12.375" style="44" bestFit="1" customWidth="1"/>
    <col min="9991" max="9991" width="11.703125" style="44" bestFit="1" customWidth="1"/>
    <col min="9992" max="10240" width="9.14453125" style="44"/>
    <col min="10241" max="10241" width="37.26171875" style="44" customWidth="1"/>
    <col min="10242" max="10242" width="18.4296875" style="44" bestFit="1" customWidth="1"/>
    <col min="10243" max="10246" width="12.375" style="44" bestFit="1" customWidth="1"/>
    <col min="10247" max="10247" width="11.703125" style="44" bestFit="1" customWidth="1"/>
    <col min="10248" max="10496" width="9.14453125" style="44"/>
    <col min="10497" max="10497" width="37.26171875" style="44" customWidth="1"/>
    <col min="10498" max="10498" width="18.4296875" style="44" bestFit="1" customWidth="1"/>
    <col min="10499" max="10502" width="12.375" style="44" bestFit="1" customWidth="1"/>
    <col min="10503" max="10503" width="11.703125" style="44" bestFit="1" customWidth="1"/>
    <col min="10504" max="10752" width="9.14453125" style="44"/>
    <col min="10753" max="10753" width="37.26171875" style="44" customWidth="1"/>
    <col min="10754" max="10754" width="18.4296875" style="44" bestFit="1" customWidth="1"/>
    <col min="10755" max="10758" width="12.375" style="44" bestFit="1" customWidth="1"/>
    <col min="10759" max="10759" width="11.703125" style="44" bestFit="1" customWidth="1"/>
    <col min="10760" max="11008" width="9.14453125" style="44"/>
    <col min="11009" max="11009" width="37.26171875" style="44" customWidth="1"/>
    <col min="11010" max="11010" width="18.4296875" style="44" bestFit="1" customWidth="1"/>
    <col min="11011" max="11014" width="12.375" style="44" bestFit="1" customWidth="1"/>
    <col min="11015" max="11015" width="11.703125" style="44" bestFit="1" customWidth="1"/>
    <col min="11016" max="11264" width="9.14453125" style="44"/>
    <col min="11265" max="11265" width="37.26171875" style="44" customWidth="1"/>
    <col min="11266" max="11266" width="18.4296875" style="44" bestFit="1" customWidth="1"/>
    <col min="11267" max="11270" width="12.375" style="44" bestFit="1" customWidth="1"/>
    <col min="11271" max="11271" width="11.703125" style="44" bestFit="1" customWidth="1"/>
    <col min="11272" max="11520" width="9.14453125" style="44"/>
    <col min="11521" max="11521" width="37.26171875" style="44" customWidth="1"/>
    <col min="11522" max="11522" width="18.4296875" style="44" bestFit="1" customWidth="1"/>
    <col min="11523" max="11526" width="12.375" style="44" bestFit="1" customWidth="1"/>
    <col min="11527" max="11527" width="11.703125" style="44" bestFit="1" customWidth="1"/>
    <col min="11528" max="11776" width="9.14453125" style="44"/>
    <col min="11777" max="11777" width="37.26171875" style="44" customWidth="1"/>
    <col min="11778" max="11778" width="18.4296875" style="44" bestFit="1" customWidth="1"/>
    <col min="11779" max="11782" width="12.375" style="44" bestFit="1" customWidth="1"/>
    <col min="11783" max="11783" width="11.703125" style="44" bestFit="1" customWidth="1"/>
    <col min="11784" max="12032" width="9.14453125" style="44"/>
    <col min="12033" max="12033" width="37.26171875" style="44" customWidth="1"/>
    <col min="12034" max="12034" width="18.4296875" style="44" bestFit="1" customWidth="1"/>
    <col min="12035" max="12038" width="12.375" style="44" bestFit="1" customWidth="1"/>
    <col min="12039" max="12039" width="11.703125" style="44" bestFit="1" customWidth="1"/>
    <col min="12040" max="12288" width="9.14453125" style="44"/>
    <col min="12289" max="12289" width="37.26171875" style="44" customWidth="1"/>
    <col min="12290" max="12290" width="18.4296875" style="44" bestFit="1" customWidth="1"/>
    <col min="12291" max="12294" width="12.375" style="44" bestFit="1" customWidth="1"/>
    <col min="12295" max="12295" width="11.703125" style="44" bestFit="1" customWidth="1"/>
    <col min="12296" max="12544" width="9.14453125" style="44"/>
    <col min="12545" max="12545" width="37.26171875" style="44" customWidth="1"/>
    <col min="12546" max="12546" width="18.4296875" style="44" bestFit="1" customWidth="1"/>
    <col min="12547" max="12550" width="12.375" style="44" bestFit="1" customWidth="1"/>
    <col min="12551" max="12551" width="11.703125" style="44" bestFit="1" customWidth="1"/>
    <col min="12552" max="12800" width="9.14453125" style="44"/>
    <col min="12801" max="12801" width="37.26171875" style="44" customWidth="1"/>
    <col min="12802" max="12802" width="18.4296875" style="44" bestFit="1" customWidth="1"/>
    <col min="12803" max="12806" width="12.375" style="44" bestFit="1" customWidth="1"/>
    <col min="12807" max="12807" width="11.703125" style="44" bestFit="1" customWidth="1"/>
    <col min="12808" max="13056" width="9.14453125" style="44"/>
    <col min="13057" max="13057" width="37.26171875" style="44" customWidth="1"/>
    <col min="13058" max="13058" width="18.4296875" style="44" bestFit="1" customWidth="1"/>
    <col min="13059" max="13062" width="12.375" style="44" bestFit="1" customWidth="1"/>
    <col min="13063" max="13063" width="11.703125" style="44" bestFit="1" customWidth="1"/>
    <col min="13064" max="13312" width="9.14453125" style="44"/>
    <col min="13313" max="13313" width="37.26171875" style="44" customWidth="1"/>
    <col min="13314" max="13314" width="18.4296875" style="44" bestFit="1" customWidth="1"/>
    <col min="13315" max="13318" width="12.375" style="44" bestFit="1" customWidth="1"/>
    <col min="13319" max="13319" width="11.703125" style="44" bestFit="1" customWidth="1"/>
    <col min="13320" max="13568" width="9.14453125" style="44"/>
    <col min="13569" max="13569" width="37.26171875" style="44" customWidth="1"/>
    <col min="13570" max="13570" width="18.4296875" style="44" bestFit="1" customWidth="1"/>
    <col min="13571" max="13574" width="12.375" style="44" bestFit="1" customWidth="1"/>
    <col min="13575" max="13575" width="11.703125" style="44" bestFit="1" customWidth="1"/>
    <col min="13576" max="13824" width="9.14453125" style="44"/>
    <col min="13825" max="13825" width="37.26171875" style="44" customWidth="1"/>
    <col min="13826" max="13826" width="18.4296875" style="44" bestFit="1" customWidth="1"/>
    <col min="13827" max="13830" width="12.375" style="44" bestFit="1" customWidth="1"/>
    <col min="13831" max="13831" width="11.703125" style="44" bestFit="1" customWidth="1"/>
    <col min="13832" max="14080" width="9.14453125" style="44"/>
    <col min="14081" max="14081" width="37.26171875" style="44" customWidth="1"/>
    <col min="14082" max="14082" width="18.4296875" style="44" bestFit="1" customWidth="1"/>
    <col min="14083" max="14086" width="12.375" style="44" bestFit="1" customWidth="1"/>
    <col min="14087" max="14087" width="11.703125" style="44" bestFit="1" customWidth="1"/>
    <col min="14088" max="14336" width="9.14453125" style="44"/>
    <col min="14337" max="14337" width="37.26171875" style="44" customWidth="1"/>
    <col min="14338" max="14338" width="18.4296875" style="44" bestFit="1" customWidth="1"/>
    <col min="14339" max="14342" width="12.375" style="44" bestFit="1" customWidth="1"/>
    <col min="14343" max="14343" width="11.703125" style="44" bestFit="1" customWidth="1"/>
    <col min="14344" max="14592" width="9.14453125" style="44"/>
    <col min="14593" max="14593" width="37.26171875" style="44" customWidth="1"/>
    <col min="14594" max="14594" width="18.4296875" style="44" bestFit="1" customWidth="1"/>
    <col min="14595" max="14598" width="12.375" style="44" bestFit="1" customWidth="1"/>
    <col min="14599" max="14599" width="11.703125" style="44" bestFit="1" customWidth="1"/>
    <col min="14600" max="14848" width="9.14453125" style="44"/>
    <col min="14849" max="14849" width="37.26171875" style="44" customWidth="1"/>
    <col min="14850" max="14850" width="18.4296875" style="44" bestFit="1" customWidth="1"/>
    <col min="14851" max="14854" width="12.375" style="44" bestFit="1" customWidth="1"/>
    <col min="14855" max="14855" width="11.703125" style="44" bestFit="1" customWidth="1"/>
    <col min="14856" max="15104" width="9.14453125" style="44"/>
    <col min="15105" max="15105" width="37.26171875" style="44" customWidth="1"/>
    <col min="15106" max="15106" width="18.4296875" style="44" bestFit="1" customWidth="1"/>
    <col min="15107" max="15110" width="12.375" style="44" bestFit="1" customWidth="1"/>
    <col min="15111" max="15111" width="11.703125" style="44" bestFit="1" customWidth="1"/>
    <col min="15112" max="15360" width="9.14453125" style="44"/>
    <col min="15361" max="15361" width="37.26171875" style="44" customWidth="1"/>
    <col min="15362" max="15362" width="18.4296875" style="44" bestFit="1" customWidth="1"/>
    <col min="15363" max="15366" width="12.375" style="44" bestFit="1" customWidth="1"/>
    <col min="15367" max="15367" width="11.703125" style="44" bestFit="1" customWidth="1"/>
    <col min="15368" max="15616" width="9.14453125" style="44"/>
    <col min="15617" max="15617" width="37.26171875" style="44" customWidth="1"/>
    <col min="15618" max="15618" width="18.4296875" style="44" bestFit="1" customWidth="1"/>
    <col min="15619" max="15622" width="12.375" style="44" bestFit="1" customWidth="1"/>
    <col min="15623" max="15623" width="11.703125" style="44" bestFit="1" customWidth="1"/>
    <col min="15624" max="15872" width="9.14453125" style="44"/>
    <col min="15873" max="15873" width="37.26171875" style="44" customWidth="1"/>
    <col min="15874" max="15874" width="18.4296875" style="44" bestFit="1" customWidth="1"/>
    <col min="15875" max="15878" width="12.375" style="44" bestFit="1" customWidth="1"/>
    <col min="15879" max="15879" width="11.703125" style="44" bestFit="1" customWidth="1"/>
    <col min="15880" max="16128" width="9.14453125" style="44"/>
    <col min="16129" max="16129" width="37.26171875" style="44" customWidth="1"/>
    <col min="16130" max="16130" width="18.4296875" style="44" bestFit="1" customWidth="1"/>
    <col min="16131" max="16134" width="12.375" style="44" bestFit="1" customWidth="1"/>
    <col min="16135" max="16135" width="11.703125" style="44" bestFit="1" customWidth="1"/>
    <col min="16136" max="16384" width="9.14453125" style="44"/>
  </cols>
  <sheetData>
    <row r="1" spans="1:18" x14ac:dyDescent="0.2">
      <c r="A1" s="717"/>
      <c r="B1" s="717"/>
      <c r="C1" s="717"/>
      <c r="D1" s="717"/>
      <c r="E1" s="717"/>
      <c r="F1" s="717"/>
    </row>
    <row r="2" spans="1:18" ht="18" x14ac:dyDescent="0.2">
      <c r="A2" s="736" t="s">
        <v>510</v>
      </c>
      <c r="B2" s="702"/>
      <c r="C2" s="702"/>
      <c r="D2" s="702"/>
      <c r="E2" s="702"/>
      <c r="F2" s="702"/>
      <c r="G2" s="702"/>
      <c r="H2" s="702"/>
      <c r="I2" s="71"/>
    </row>
    <row r="3" spans="1:18" x14ac:dyDescent="0.2">
      <c r="A3" s="72"/>
      <c r="B3" s="46"/>
      <c r="C3" s="46"/>
      <c r="D3" s="46"/>
      <c r="E3" s="46"/>
      <c r="F3" s="46"/>
    </row>
    <row r="4" spans="1:18" x14ac:dyDescent="0.15">
      <c r="A4" s="100" t="s">
        <v>0</v>
      </c>
      <c r="B4" s="101" t="s">
        <v>2</v>
      </c>
      <c r="C4" s="101" t="s">
        <v>3</v>
      </c>
      <c r="D4" s="101" t="s">
        <v>4</v>
      </c>
      <c r="E4" s="101" t="s">
        <v>5</v>
      </c>
      <c r="F4" s="101" t="s">
        <v>6</v>
      </c>
      <c r="G4" s="102" t="s">
        <v>163</v>
      </c>
      <c r="H4" s="102" t="s">
        <v>162</v>
      </c>
    </row>
    <row r="5" spans="1:18" s="45" customFormat="1" x14ac:dyDescent="0.2">
      <c r="A5" s="103"/>
      <c r="B5" s="104"/>
      <c r="C5" s="105"/>
      <c r="D5" s="105"/>
      <c r="E5" s="105"/>
      <c r="F5" s="105"/>
      <c r="G5" s="105"/>
      <c r="H5" s="105"/>
    </row>
    <row r="6" spans="1:18" x14ac:dyDescent="0.2">
      <c r="A6" s="106" t="s">
        <v>46</v>
      </c>
      <c r="B6" s="107"/>
      <c r="C6" s="107"/>
      <c r="D6" s="107"/>
      <c r="E6" s="107"/>
      <c r="F6" s="107"/>
      <c r="G6" s="107"/>
      <c r="H6" s="107"/>
    </row>
    <row r="7" spans="1:18" x14ac:dyDescent="0.2">
      <c r="A7" s="108" t="s">
        <v>47</v>
      </c>
      <c r="B7" s="109"/>
      <c r="C7" s="109"/>
      <c r="D7" s="109"/>
      <c r="E7" s="109"/>
      <c r="F7" s="109"/>
      <c r="G7" s="109"/>
      <c r="H7" s="109"/>
    </row>
    <row r="8" spans="1:18" x14ac:dyDescent="0.2">
      <c r="A8" s="110" t="s">
        <v>241</v>
      </c>
      <c r="B8" s="488">
        <f>+'8.Cash Flow '!C35</f>
        <v>11.504936597207575</v>
      </c>
      <c r="C8" s="488">
        <f>+'8.Cash Flow '!D35</f>
        <v>19.693743886727276</v>
      </c>
      <c r="D8" s="488">
        <f>+'8.Cash Flow '!E35</f>
        <v>30.365670781738714</v>
      </c>
      <c r="E8" s="488">
        <f>+'8.Cash Flow '!F35</f>
        <v>44.417877392022007</v>
      </c>
      <c r="F8" s="488">
        <f>+'8.Cash Flow '!G35</f>
        <v>70.468180245571631</v>
      </c>
      <c r="G8" s="488">
        <f>+'8.Cash Flow '!H35</f>
        <v>100.05822093867542</v>
      </c>
      <c r="H8" s="488">
        <f>+'8.Cash Flow '!I35</f>
        <v>134.1345988817412</v>
      </c>
      <c r="J8" s="44">
        <v>17.154377439732798</v>
      </c>
      <c r="K8" s="57">
        <f>+B8-J8</f>
        <v>-5.6494408425252232</v>
      </c>
      <c r="L8" s="57"/>
      <c r="M8" s="57"/>
      <c r="N8" s="57"/>
      <c r="O8" s="57"/>
      <c r="P8" s="57"/>
      <c r="Q8" s="57"/>
      <c r="R8" s="57"/>
    </row>
    <row r="9" spans="1:18" x14ac:dyDescent="0.2">
      <c r="A9" s="111" t="s">
        <v>242</v>
      </c>
      <c r="B9" s="107">
        <f>+'5.Closing Stock &amp; W Capital'!E40</f>
        <v>18.834495177469133</v>
      </c>
      <c r="C9" s="107">
        <f>+'5.Closing Stock &amp; W Capital'!F40</f>
        <v>21.973402777777778</v>
      </c>
      <c r="D9" s="107">
        <f>+'5.Closing Stock &amp; W Capital'!G40</f>
        <v>25.445995146604943</v>
      </c>
      <c r="E9" s="107">
        <f>+'5.Closing Stock &amp; W Capital'!H40</f>
        <v>29.349657091049384</v>
      </c>
      <c r="F9" s="107">
        <f>+'5.Closing Stock &amp; W Capital'!I40</f>
        <v>33.192832509355718</v>
      </c>
      <c r="G9" s="107">
        <f>+'5.Closing Stock &amp; W Capital'!J40</f>
        <v>37.55700294968171</v>
      </c>
      <c r="H9" s="107">
        <f>+'5.Closing Stock &amp; W Capital'!K40</f>
        <v>42.432323619317856</v>
      </c>
      <c r="J9" s="47">
        <v>19.848951581790121</v>
      </c>
      <c r="K9" s="57">
        <f t="shared" ref="K9:K44" si="0">+B9-J9</f>
        <v>-1.0144564043209883</v>
      </c>
      <c r="L9" s="57"/>
      <c r="M9" s="57"/>
      <c r="N9" s="57"/>
      <c r="O9" s="57"/>
      <c r="P9" s="57"/>
      <c r="Q9" s="57"/>
      <c r="R9" s="57"/>
    </row>
    <row r="10" spans="1:18" x14ac:dyDescent="0.2">
      <c r="A10" s="111" t="s">
        <v>543</v>
      </c>
      <c r="B10" s="107"/>
      <c r="C10" s="107"/>
      <c r="D10" s="107"/>
      <c r="E10" s="107"/>
      <c r="F10" s="107"/>
      <c r="G10" s="107"/>
      <c r="H10" s="107"/>
      <c r="K10" s="57">
        <f t="shared" si="0"/>
        <v>0</v>
      </c>
      <c r="L10" s="57"/>
      <c r="M10" s="57"/>
      <c r="N10" s="57"/>
      <c r="O10" s="57"/>
      <c r="P10" s="57"/>
      <c r="Q10" s="57"/>
      <c r="R10" s="57"/>
    </row>
    <row r="11" spans="1:18" x14ac:dyDescent="0.2">
      <c r="A11" s="111" t="s">
        <v>805</v>
      </c>
      <c r="B11" s="107">
        <f>+'5.Closing Stock &amp; W Capital'!E42</f>
        <v>9.395543981481481</v>
      </c>
      <c r="C11" s="107">
        <f>+'5.Closing Stock &amp; W Capital'!F42</f>
        <v>16.380981481481481</v>
      </c>
      <c r="D11" s="107">
        <f>+'5.Closing Stock &amp; W Capital'!G42</f>
        <v>24.865874999999999</v>
      </c>
      <c r="E11" s="107">
        <f>+'5.Closing Stock &amp; W Capital'!H42</f>
        <v>34.993012962962965</v>
      </c>
      <c r="F11" s="107">
        <f>+'5.Closing Stock &amp; W Capital'!I42</f>
        <v>46.721210185185171</v>
      </c>
      <c r="G11" s="107">
        <f>+'5.Closing Stock &amp; W Capital'!J42</f>
        <v>60.268525925925914</v>
      </c>
      <c r="H11" s="107">
        <f>+'5.Closing Stock &amp; W Capital'!K42</f>
        <v>76.030691666666669</v>
      </c>
      <c r="J11" s="44">
        <v>8.1916504629629614</v>
      </c>
      <c r="K11" s="57">
        <f t="shared" si="0"/>
        <v>1.2038935185185196</v>
      </c>
      <c r="L11" s="57"/>
      <c r="M11" s="57"/>
      <c r="N11" s="57"/>
      <c r="O11" s="57"/>
      <c r="P11" s="57"/>
      <c r="Q11" s="57"/>
      <c r="R11" s="57"/>
    </row>
    <row r="12" spans="1:18" x14ac:dyDescent="0.2">
      <c r="A12" s="108" t="s">
        <v>243</v>
      </c>
      <c r="B12" s="488">
        <f>SUM(B8:B11)</f>
        <v>39.734975756158192</v>
      </c>
      <c r="C12" s="488">
        <f t="shared" ref="C12:H12" si="1">SUM(C8:C11)</f>
        <v>58.048128145986539</v>
      </c>
      <c r="D12" s="488">
        <f t="shared" si="1"/>
        <v>80.67754092834366</v>
      </c>
      <c r="E12" s="488">
        <f t="shared" si="1"/>
        <v>108.76054744603435</v>
      </c>
      <c r="F12" s="488">
        <f t="shared" si="1"/>
        <v>150.38222294011251</v>
      </c>
      <c r="G12" s="488">
        <f t="shared" si="1"/>
        <v>197.88374981428302</v>
      </c>
      <c r="H12" s="488">
        <f t="shared" si="1"/>
        <v>252.59761416772574</v>
      </c>
      <c r="J12" s="44">
        <v>45.194979484485877</v>
      </c>
      <c r="K12" s="57">
        <f t="shared" si="0"/>
        <v>-5.4600037283276848</v>
      </c>
    </row>
    <row r="13" spans="1:18" x14ac:dyDescent="0.2">
      <c r="A13" s="108"/>
      <c r="B13" s="107"/>
      <c r="C13" s="107"/>
      <c r="D13" s="107"/>
      <c r="E13" s="107"/>
      <c r="F13" s="107"/>
      <c r="G13" s="107"/>
      <c r="H13" s="107"/>
      <c r="J13" s="57"/>
      <c r="K13" s="57">
        <f t="shared" si="0"/>
        <v>0</v>
      </c>
      <c r="L13" s="57"/>
      <c r="M13" s="57"/>
      <c r="N13" s="57"/>
      <c r="O13" s="57"/>
      <c r="P13" s="57"/>
      <c r="Q13" s="57"/>
    </row>
    <row r="14" spans="1:18" x14ac:dyDescent="0.2">
      <c r="A14" s="112" t="s">
        <v>244</v>
      </c>
      <c r="B14" s="107">
        <f>'3.Other Exp &amp; Taxes'!C57</f>
        <v>141.3981</v>
      </c>
      <c r="C14" s="107">
        <f>'3.Other Exp &amp; Taxes'!D57</f>
        <v>135.90179627000001</v>
      </c>
      <c r="D14" s="107">
        <f>'3.Other Exp &amp; Taxes'!E57</f>
        <v>130.40549254000001</v>
      </c>
      <c r="E14" s="107">
        <f>'3.Other Exp &amp; Taxes'!F57</f>
        <v>124.90918881000002</v>
      </c>
      <c r="F14" s="107">
        <f>'3.Other Exp &amp; Taxes'!G57</f>
        <v>119.41288508000002</v>
      </c>
      <c r="G14" s="107">
        <f>'3.Other Exp &amp; Taxes'!H57</f>
        <v>113.91658135000003</v>
      </c>
      <c r="H14" s="107">
        <f>'3.Other Exp &amp; Taxes'!I57</f>
        <v>108.42027762000004</v>
      </c>
      <c r="J14" s="44">
        <v>138.0181</v>
      </c>
      <c r="K14" s="57">
        <f t="shared" si="0"/>
        <v>3.3799999999999955</v>
      </c>
    </row>
    <row r="15" spans="1:18" x14ac:dyDescent="0.2">
      <c r="A15" s="112" t="s">
        <v>245</v>
      </c>
      <c r="B15" s="107">
        <f>'3.Other Exp &amp; Taxes'!C58</f>
        <v>5.4963037300000002</v>
      </c>
      <c r="C15" s="107">
        <f>'3.Other Exp &amp; Taxes'!D58</f>
        <v>5.4963037300000002</v>
      </c>
      <c r="D15" s="107">
        <f>'3.Other Exp &amp; Taxes'!E58</f>
        <v>5.4963037300000002</v>
      </c>
      <c r="E15" s="107">
        <f>'3.Other Exp &amp; Taxes'!F58</f>
        <v>5.4963037300000002</v>
      </c>
      <c r="F15" s="107">
        <f>'3.Other Exp &amp; Taxes'!G58</f>
        <v>5.4963037300000002</v>
      </c>
      <c r="G15" s="107">
        <f>'3.Other Exp &amp; Taxes'!H58</f>
        <v>5.4963037300000002</v>
      </c>
      <c r="H15" s="107">
        <f>'3.Other Exp &amp; Taxes'!I58</f>
        <v>5.4963037300000002</v>
      </c>
      <c r="J15" s="44">
        <v>5.2880377300000001</v>
      </c>
      <c r="K15" s="57">
        <f t="shared" si="0"/>
        <v>0.20826600000000006</v>
      </c>
      <c r="L15" s="57"/>
      <c r="M15" s="57"/>
      <c r="N15" s="57"/>
      <c r="O15" s="57"/>
      <c r="P15" s="57"/>
      <c r="Q15" s="57"/>
    </row>
    <row r="16" spans="1:18" s="46" customFormat="1" x14ac:dyDescent="0.2">
      <c r="A16" s="108" t="s">
        <v>190</v>
      </c>
      <c r="B16" s="488">
        <f t="shared" ref="B16:H16" si="2">B14-B15</f>
        <v>135.90179627000001</v>
      </c>
      <c r="C16" s="488">
        <f t="shared" si="2"/>
        <v>130.40549254000001</v>
      </c>
      <c r="D16" s="488">
        <f t="shared" si="2"/>
        <v>124.90918881000002</v>
      </c>
      <c r="E16" s="488">
        <f t="shared" si="2"/>
        <v>119.41288508000002</v>
      </c>
      <c r="F16" s="488">
        <f t="shared" si="2"/>
        <v>113.91658135000003</v>
      </c>
      <c r="G16" s="488">
        <f t="shared" si="2"/>
        <v>108.42027762000004</v>
      </c>
      <c r="H16" s="488">
        <f t="shared" si="2"/>
        <v>102.92397389000004</v>
      </c>
      <c r="J16" s="46">
        <v>132.73006226999999</v>
      </c>
      <c r="K16" s="57">
        <f t="shared" si="0"/>
        <v>3.1717340000000149</v>
      </c>
    </row>
    <row r="17" spans="1:11" s="46" customFormat="1" x14ac:dyDescent="0.2">
      <c r="A17" s="108"/>
      <c r="B17" s="488"/>
      <c r="C17" s="488"/>
      <c r="D17" s="488"/>
      <c r="E17" s="488"/>
      <c r="F17" s="488"/>
      <c r="G17" s="488"/>
      <c r="H17" s="488"/>
      <c r="K17" s="57">
        <f t="shared" si="0"/>
        <v>0</v>
      </c>
    </row>
    <row r="18" spans="1:11" s="46" customFormat="1" x14ac:dyDescent="0.2">
      <c r="A18" s="113" t="s">
        <v>947</v>
      </c>
      <c r="B18" s="488">
        <f>+'6.Cons Profit &amp; Loss'!B57</f>
        <v>5.7946021844095119</v>
      </c>
      <c r="C18" s="488">
        <f>+B18+'6.Cons Profit &amp; Loss'!C57</f>
        <v>13.478889509009342</v>
      </c>
      <c r="D18" s="488">
        <f>+C18+'6.Cons Profit &amp; Loss'!D57</f>
        <v>23.528695073063389</v>
      </c>
      <c r="E18" s="488">
        <f>+D18+'6.Cons Profit &amp; Loss'!E57</f>
        <v>36.678591490454551</v>
      </c>
      <c r="F18" s="488">
        <f>+E18+'6.Cons Profit &amp; Loss'!F57</f>
        <v>51.741141244174379</v>
      </c>
      <c r="G18" s="488">
        <f>+F18+'6.Cons Profit &amp; Loss'!G57</f>
        <v>69.508563059820389</v>
      </c>
      <c r="H18" s="488">
        <f>+G18+'6.Cons Profit &amp; Loss'!H57</f>
        <v>90.664194344084976</v>
      </c>
      <c r="K18" s="57">
        <f t="shared" si="0"/>
        <v>5.7946021844095119</v>
      </c>
    </row>
    <row r="19" spans="1:11" s="46" customFormat="1" x14ac:dyDescent="0.2">
      <c r="A19" s="108" t="s">
        <v>475</v>
      </c>
      <c r="B19" s="488">
        <f>'8.Cash Flow '!C22-'6.Cons Profit &amp; Loss'!B47</f>
        <v>6.0599185714285717</v>
      </c>
      <c r="C19" s="488">
        <f>B19-'6.Cons Profit &amp; Loss'!C47</f>
        <v>5.0499321428571431</v>
      </c>
      <c r="D19" s="488">
        <f>C19-'6.Cons Profit &amp; Loss'!D47</f>
        <v>4.0399457142857145</v>
      </c>
      <c r="E19" s="488">
        <f>D19-'6.Cons Profit &amp; Loss'!E47</f>
        <v>3.0299592857142859</v>
      </c>
      <c r="F19" s="488">
        <f>E19-'6.Cons Profit &amp; Loss'!F47</f>
        <v>2.0199728571428572</v>
      </c>
      <c r="G19" s="488">
        <f>F19-'6.Cons Profit &amp; Loss'!G47</f>
        <v>1.0099864285714286</v>
      </c>
      <c r="H19" s="488">
        <f>G19-'6.Cons Profit &amp; Loss'!H47</f>
        <v>0</v>
      </c>
      <c r="J19" s="46">
        <v>5.9150614285714296</v>
      </c>
      <c r="K19" s="57">
        <f t="shared" si="0"/>
        <v>0.14485714285714213</v>
      </c>
    </row>
    <row r="20" spans="1:11" x14ac:dyDescent="0.2">
      <c r="A20" s="112"/>
      <c r="B20" s="107"/>
      <c r="C20" s="107"/>
      <c r="D20" s="107"/>
      <c r="E20" s="107"/>
      <c r="F20" s="107"/>
      <c r="G20" s="107"/>
      <c r="H20" s="107"/>
      <c r="K20" s="57">
        <f t="shared" si="0"/>
        <v>0</v>
      </c>
    </row>
    <row r="21" spans="1:11" x14ac:dyDescent="0.2">
      <c r="A21" s="113" t="s">
        <v>247</v>
      </c>
      <c r="B21" s="489">
        <f t="shared" ref="B21:H21" si="3">B12+B16+B18+B19</f>
        <v>187.49129278199629</v>
      </c>
      <c r="C21" s="489">
        <f t="shared" si="3"/>
        <v>206.98244233785303</v>
      </c>
      <c r="D21" s="489">
        <f t="shared" si="3"/>
        <v>233.1553705256928</v>
      </c>
      <c r="E21" s="489">
        <f t="shared" si="3"/>
        <v>267.88198330220325</v>
      </c>
      <c r="F21" s="489">
        <f t="shared" si="3"/>
        <v>318.05991839142985</v>
      </c>
      <c r="G21" s="489">
        <f t="shared" si="3"/>
        <v>376.8225769226749</v>
      </c>
      <c r="H21" s="489">
        <f t="shared" si="3"/>
        <v>446.1857824018108</v>
      </c>
      <c r="J21" s="44">
        <v>183.84010318305729</v>
      </c>
      <c r="K21" s="57">
        <f t="shared" si="0"/>
        <v>3.6511895989389984</v>
      </c>
    </row>
    <row r="22" spans="1:11" x14ac:dyDescent="0.2">
      <c r="A22" s="103"/>
      <c r="B22" s="490"/>
      <c r="C22" s="490"/>
      <c r="D22" s="490"/>
      <c r="E22" s="490"/>
      <c r="F22" s="490"/>
      <c r="G22" s="490"/>
      <c r="H22" s="490"/>
      <c r="K22" s="57">
        <f t="shared" si="0"/>
        <v>0</v>
      </c>
    </row>
    <row r="23" spans="1:11" x14ac:dyDescent="0.2">
      <c r="A23" s="106" t="s">
        <v>248</v>
      </c>
      <c r="B23" s="109"/>
      <c r="C23" s="109"/>
      <c r="D23" s="109"/>
      <c r="E23" s="109"/>
      <c r="F23" s="109"/>
      <c r="G23" s="109"/>
      <c r="H23" s="109"/>
      <c r="K23" s="57">
        <f t="shared" si="0"/>
        <v>0</v>
      </c>
    </row>
    <row r="24" spans="1:11" x14ac:dyDescent="0.2">
      <c r="A24" s="108" t="s">
        <v>249</v>
      </c>
      <c r="B24" s="109"/>
      <c r="C24" s="109"/>
      <c r="D24" s="109"/>
      <c r="E24" s="109"/>
      <c r="F24" s="109"/>
      <c r="G24" s="109"/>
      <c r="H24" s="109"/>
      <c r="K24" s="57">
        <f t="shared" si="0"/>
        <v>0</v>
      </c>
    </row>
    <row r="25" spans="1:11" x14ac:dyDescent="0.2">
      <c r="A25" s="111" t="s">
        <v>250</v>
      </c>
      <c r="B25" s="488">
        <f>+'5.Closing Stock &amp; W Capital'!E56</f>
        <v>8.0727086348379622</v>
      </c>
      <c r="C25" s="488">
        <f>+'5.Closing Stock &amp; W Capital'!F56</f>
        <v>13.897518033506948</v>
      </c>
      <c r="D25" s="488">
        <f>+'5.Closing Stock &amp; W Capital'!G56</f>
        <v>20.693926933156835</v>
      </c>
      <c r="E25" s="488">
        <f>+'5.Closing Stock &amp; W Capital'!H56</f>
        <v>28.867417068674627</v>
      </c>
      <c r="F25" s="488">
        <f>+'5.Closing Stock &amp; W Capital'!I56</f>
        <v>38.016852875479302</v>
      </c>
      <c r="G25" s="488">
        <f>+'5.Closing Stock &amp; W Capital'!J56</f>
        <v>48.718999442289295</v>
      </c>
      <c r="H25" s="488">
        <f>+'5.Closing Stock &amp; W Capital'!K56</f>
        <v>61.20907686799697</v>
      </c>
      <c r="J25" s="44">
        <v>7.2281403721064805</v>
      </c>
      <c r="K25" s="57">
        <f t="shared" si="0"/>
        <v>0.84456826273148167</v>
      </c>
    </row>
    <row r="26" spans="1:11" x14ac:dyDescent="0.2">
      <c r="A26" s="111" t="s">
        <v>251</v>
      </c>
      <c r="B26" s="490">
        <f>+'5.Closing Stock &amp; W Capital'!E54</f>
        <v>17.466427645833331</v>
      </c>
      <c r="C26" s="490">
        <f>+'5.Closing Stock &amp; W Capital'!F54</f>
        <v>19.824360214583333</v>
      </c>
      <c r="D26" s="490">
        <f>+'5.Closing Stock &amp; W Capital'!G54</f>
        <v>22.719967569062501</v>
      </c>
      <c r="E26" s="490">
        <f>+'5.Closing Stock &amp; W Capital'!H54</f>
        <v>25.852780629112843</v>
      </c>
      <c r="F26" s="490">
        <f>+'5.Closing Stock &amp; W Capital'!I54</f>
        <v>29.224905527235155</v>
      </c>
      <c r="G26" s="490">
        <f>+'5.Closing Stock &amp; W Capital'!J54</f>
        <v>32.866862952555245</v>
      </c>
      <c r="H26" s="490">
        <f>+'5.Closing Stock &amp; W Capital'!K54</f>
        <v>36.850912795321904</v>
      </c>
      <c r="J26" s="44">
        <v>18.403081548611109</v>
      </c>
      <c r="K26" s="57">
        <f t="shared" si="0"/>
        <v>-0.9366539027777776</v>
      </c>
    </row>
    <row r="27" spans="1:11" s="45" customFormat="1" x14ac:dyDescent="0.2">
      <c r="A27" s="111" t="s">
        <v>252</v>
      </c>
      <c r="B27" s="488"/>
      <c r="C27" s="488"/>
      <c r="D27" s="488"/>
      <c r="E27" s="488"/>
      <c r="F27" s="488"/>
      <c r="G27" s="488"/>
      <c r="H27" s="488"/>
      <c r="K27" s="57">
        <f t="shared" si="0"/>
        <v>0</v>
      </c>
    </row>
    <row r="28" spans="1:11" s="45" customFormat="1" x14ac:dyDescent="0.2">
      <c r="A28" s="108" t="s">
        <v>253</v>
      </c>
      <c r="B28" s="489">
        <f t="shared" ref="B28:H28" si="4">SUM(B25:B27)</f>
        <v>25.539136280671293</v>
      </c>
      <c r="C28" s="489">
        <f t="shared" si="4"/>
        <v>33.721878248090277</v>
      </c>
      <c r="D28" s="489">
        <f t="shared" si="4"/>
        <v>43.413894502219335</v>
      </c>
      <c r="E28" s="489">
        <f t="shared" si="4"/>
        <v>54.720197697787469</v>
      </c>
      <c r="F28" s="489">
        <f t="shared" si="4"/>
        <v>67.241758402714453</v>
      </c>
      <c r="G28" s="489">
        <f t="shared" si="4"/>
        <v>81.58586239484454</v>
      </c>
      <c r="H28" s="489">
        <f t="shared" si="4"/>
        <v>98.059989663318873</v>
      </c>
      <c r="J28" s="45">
        <v>25.631221920717589</v>
      </c>
      <c r="K28" s="57">
        <f t="shared" si="0"/>
        <v>-9.2085640046295936E-2</v>
      </c>
    </row>
    <row r="29" spans="1:11" s="45" customFormat="1" x14ac:dyDescent="0.2">
      <c r="A29" s="108" t="s">
        <v>254</v>
      </c>
      <c r="B29" s="489">
        <f>'4.TL repayment sch'!G21</f>
        <v>26.000344162021815</v>
      </c>
      <c r="C29" s="489">
        <f>'4.TL repayment sch'!G33</f>
        <v>18.09803343895998</v>
      </c>
      <c r="D29" s="489">
        <f>'4.TL repayment sch'!G45</f>
        <v>9.4544314625355668</v>
      </c>
      <c r="E29" s="489">
        <f>'4.TL repayment sch'!G57</f>
        <v>5.1070259132757201E-15</v>
      </c>
      <c r="F29" s="489">
        <f>'4.TL repayment sch'!G69</f>
        <v>1.9984014443252818E-15</v>
      </c>
      <c r="G29" s="489">
        <f>'4.TL repayment sch'!G81</f>
        <v>1.9984014443252818E-15</v>
      </c>
      <c r="H29" s="489" t="e">
        <f>'[2]Term Loan'!J72+'[2]Term Loan'!S72</f>
        <v>#REF!</v>
      </c>
      <c r="J29" s="45">
        <v>25.378828291103925</v>
      </c>
      <c r="K29" s="57">
        <f t="shared" si="0"/>
        <v>0.6215158709178894</v>
      </c>
    </row>
    <row r="30" spans="1:11" s="45" customFormat="1" x14ac:dyDescent="0.2">
      <c r="A30" s="108" t="s">
        <v>255</v>
      </c>
      <c r="B30" s="489"/>
      <c r="C30" s="489"/>
      <c r="D30" s="489"/>
      <c r="E30" s="489"/>
      <c r="F30" s="489"/>
      <c r="G30" s="489"/>
      <c r="H30" s="489"/>
      <c r="K30" s="57">
        <f t="shared" si="0"/>
        <v>0</v>
      </c>
    </row>
    <row r="31" spans="1:11" s="45" customFormat="1" x14ac:dyDescent="0.2">
      <c r="A31" s="108"/>
      <c r="B31" s="491"/>
      <c r="C31" s="491"/>
      <c r="D31" s="491"/>
      <c r="E31" s="491"/>
      <c r="F31" s="491"/>
      <c r="G31" s="491"/>
      <c r="H31" s="491"/>
      <c r="K31" s="57">
        <f t="shared" si="0"/>
        <v>0</v>
      </c>
    </row>
    <row r="32" spans="1:11" x14ac:dyDescent="0.2">
      <c r="A32" s="113" t="s">
        <v>256</v>
      </c>
      <c r="B32" s="489">
        <f t="shared" ref="B32:H32" si="5">SUM(B28:B30)</f>
        <v>51.539480442693105</v>
      </c>
      <c r="C32" s="489">
        <f t="shared" si="5"/>
        <v>51.819911687050258</v>
      </c>
      <c r="D32" s="489">
        <f t="shared" si="5"/>
        <v>52.868325964754902</v>
      </c>
      <c r="E32" s="489">
        <f t="shared" si="5"/>
        <v>54.720197697787476</v>
      </c>
      <c r="F32" s="489">
        <f t="shared" si="5"/>
        <v>67.241758402714453</v>
      </c>
      <c r="G32" s="489">
        <f t="shared" si="5"/>
        <v>81.58586239484454</v>
      </c>
      <c r="H32" s="489" t="e">
        <f t="shared" si="5"/>
        <v>#REF!</v>
      </c>
      <c r="J32" s="44">
        <v>51.010050211821515</v>
      </c>
      <c r="K32" s="57">
        <f t="shared" si="0"/>
        <v>0.52943023087158991</v>
      </c>
    </row>
    <row r="33" spans="1:11" x14ac:dyDescent="0.2">
      <c r="A33" s="103"/>
      <c r="B33" s="115"/>
      <c r="C33" s="115"/>
      <c r="D33" s="115"/>
      <c r="E33" s="115"/>
      <c r="F33" s="115"/>
      <c r="G33" s="115"/>
      <c r="H33" s="115"/>
      <c r="K33" s="57">
        <f t="shared" si="0"/>
        <v>0</v>
      </c>
    </row>
    <row r="34" spans="1:11" x14ac:dyDescent="0.2">
      <c r="A34" s="112" t="s">
        <v>257</v>
      </c>
      <c r="B34" s="107">
        <f>'1.Project Cost and MOF'!E21</f>
        <v>32.384503878279332</v>
      </c>
      <c r="C34" s="107">
        <f>B34</f>
        <v>32.384503878279332</v>
      </c>
      <c r="D34" s="107">
        <f t="shared" ref="D34:H35" si="6">C34</f>
        <v>32.384503878279332</v>
      </c>
      <c r="E34" s="107">
        <f t="shared" si="6"/>
        <v>32.384503878279332</v>
      </c>
      <c r="F34" s="107">
        <f t="shared" si="6"/>
        <v>32.384503878279332</v>
      </c>
      <c r="G34" s="107">
        <f t="shared" si="6"/>
        <v>32.384503878279332</v>
      </c>
      <c r="H34" s="107">
        <f t="shared" si="6"/>
        <v>32.384503878279332</v>
      </c>
      <c r="J34" s="44">
        <v>31.393181124035507</v>
      </c>
      <c r="K34" s="57">
        <f t="shared" si="0"/>
        <v>0.99132275424382499</v>
      </c>
    </row>
    <row r="35" spans="1:11" x14ac:dyDescent="0.2">
      <c r="A35" s="112" t="s">
        <v>476</v>
      </c>
      <c r="B35" s="107">
        <f>'1.Project Cost and MOF'!E19</f>
        <v>89.080803000000003</v>
      </c>
      <c r="C35" s="107">
        <f>B35</f>
        <v>89.080803000000003</v>
      </c>
      <c r="D35" s="107">
        <f t="shared" si="6"/>
        <v>89.080803000000003</v>
      </c>
      <c r="E35" s="107">
        <f t="shared" si="6"/>
        <v>89.080803000000003</v>
      </c>
      <c r="F35" s="107">
        <f t="shared" si="6"/>
        <v>89.080803000000003</v>
      </c>
      <c r="G35" s="107">
        <f t="shared" si="6"/>
        <v>89.080803000000003</v>
      </c>
      <c r="H35" s="107">
        <f t="shared" si="6"/>
        <v>89.080803000000003</v>
      </c>
      <c r="J35" s="44">
        <v>86.951402999999985</v>
      </c>
      <c r="K35" s="57">
        <f t="shared" si="0"/>
        <v>2.1294000000000182</v>
      </c>
    </row>
    <row r="36" spans="1:11" x14ac:dyDescent="0.2">
      <c r="A36" s="108" t="s">
        <v>258</v>
      </c>
      <c r="B36" s="107"/>
      <c r="C36" s="107"/>
      <c r="D36" s="107"/>
      <c r="E36" s="107"/>
      <c r="F36" s="107"/>
      <c r="G36" s="107"/>
      <c r="H36" s="107"/>
      <c r="K36" s="57">
        <f t="shared" si="0"/>
        <v>0</v>
      </c>
    </row>
    <row r="37" spans="1:11" x14ac:dyDescent="0.2">
      <c r="A37" s="112" t="s">
        <v>259</v>
      </c>
      <c r="B37" s="107">
        <v>0</v>
      </c>
      <c r="C37" s="107">
        <f t="shared" ref="C37:H37" si="7">B40</f>
        <v>14.486505461023778</v>
      </c>
      <c r="D37" s="107">
        <f t="shared" si="7"/>
        <v>33.697223772523351</v>
      </c>
      <c r="E37" s="107">
        <f t="shared" si="7"/>
        <v>58.821737682658465</v>
      </c>
      <c r="F37" s="107">
        <f t="shared" si="7"/>
        <v>91.696478726136363</v>
      </c>
      <c r="G37" s="107">
        <f t="shared" si="7"/>
        <v>129.35285311043594</v>
      </c>
      <c r="H37" s="107">
        <f t="shared" si="7"/>
        <v>173.77140764955095</v>
      </c>
      <c r="J37" s="44">
        <v>0</v>
      </c>
      <c r="K37" s="57">
        <f t="shared" si="0"/>
        <v>0</v>
      </c>
    </row>
    <row r="38" spans="1:11" x14ac:dyDescent="0.2">
      <c r="A38" s="112" t="s">
        <v>260</v>
      </c>
      <c r="B38" s="107">
        <f>+'6.Cons Profit &amp; Loss'!B58</f>
        <v>8.6919032766142656</v>
      </c>
      <c r="C38" s="107">
        <f>+'6.Cons Profit &amp; Loss'!C58</f>
        <v>11.526430986899745</v>
      </c>
      <c r="D38" s="107">
        <f>+'6.Cons Profit &amp; Loss'!D58</f>
        <v>15.074708346081067</v>
      </c>
      <c r="E38" s="107">
        <f>+'6.Cons Profit &amp; Loss'!E58</f>
        <v>19.724844626086735</v>
      </c>
      <c r="F38" s="107">
        <f>+'6.Cons Profit &amp; Loss'!F58</f>
        <v>22.593824630579746</v>
      </c>
      <c r="G38" s="107">
        <f>+'6.Cons Profit &amp; Loss'!G58</f>
        <v>26.651132723469011</v>
      </c>
      <c r="H38" s="107">
        <f>+'6.Cons Profit &amp; Loss'!H58</f>
        <v>31.733446926396873</v>
      </c>
      <c r="J38" s="44">
        <v>14.485468847200268</v>
      </c>
      <c r="K38" s="57">
        <f t="shared" si="0"/>
        <v>-5.7935655705860025</v>
      </c>
    </row>
    <row r="39" spans="1:11" ht="37.5" x14ac:dyDescent="0.15">
      <c r="A39" s="646" t="str">
        <f>+'6.Cons Profit &amp; Loss'!A57</f>
        <v>Appropriation 40% for Investment reserve ( Distribution of Dividend and Bonus Shares)</v>
      </c>
      <c r="B39" s="107">
        <f>+'6.Cons Profit &amp; Loss'!B57</f>
        <v>5.7946021844095119</v>
      </c>
      <c r="C39" s="107">
        <f>+'6.Cons Profit &amp; Loss'!C57</f>
        <v>7.6842873245998309</v>
      </c>
      <c r="D39" s="107">
        <f>+'6.Cons Profit &amp; Loss'!D57</f>
        <v>10.049805564054047</v>
      </c>
      <c r="E39" s="107">
        <f>+'6.Cons Profit &amp; Loss'!E57</f>
        <v>13.14989641739116</v>
      </c>
      <c r="F39" s="107">
        <f>+'6.Cons Profit &amp; Loss'!F57</f>
        <v>15.06254975371983</v>
      </c>
      <c r="G39" s="107">
        <f>+'6.Cons Profit &amp; Loss'!G57</f>
        <v>17.76742181564601</v>
      </c>
      <c r="H39" s="107">
        <f>+'6.Cons Profit &amp; Loss'!H57</f>
        <v>21.155631284264587</v>
      </c>
      <c r="K39" s="57">
        <f t="shared" si="0"/>
        <v>5.7946021844095119</v>
      </c>
    </row>
    <row r="40" spans="1:11" x14ac:dyDescent="0.2">
      <c r="A40" s="112" t="s">
        <v>261</v>
      </c>
      <c r="B40" s="107">
        <f>B37+B38+B39</f>
        <v>14.486505461023778</v>
      </c>
      <c r="C40" s="107">
        <f t="shared" ref="C40:H40" si="8">C37+C38+C39</f>
        <v>33.697223772523351</v>
      </c>
      <c r="D40" s="107">
        <f t="shared" si="8"/>
        <v>58.821737682658465</v>
      </c>
      <c r="E40" s="107">
        <f t="shared" si="8"/>
        <v>91.696478726136363</v>
      </c>
      <c r="F40" s="107">
        <f t="shared" si="8"/>
        <v>129.35285311043594</v>
      </c>
      <c r="G40" s="107">
        <f t="shared" si="8"/>
        <v>173.77140764955095</v>
      </c>
      <c r="H40" s="107">
        <f t="shared" si="8"/>
        <v>226.66048586021242</v>
      </c>
      <c r="J40" s="44">
        <v>14.485468847200268</v>
      </c>
      <c r="K40" s="57">
        <f t="shared" si="0"/>
        <v>1.0366138235102795E-3</v>
      </c>
    </row>
    <row r="41" spans="1:11" x14ac:dyDescent="0.2">
      <c r="A41" s="112"/>
      <c r="B41" s="109"/>
      <c r="C41" s="109"/>
      <c r="D41" s="109"/>
      <c r="E41" s="109"/>
      <c r="F41" s="109"/>
      <c r="G41" s="109"/>
      <c r="H41" s="109"/>
      <c r="K41" s="57">
        <f t="shared" si="0"/>
        <v>0</v>
      </c>
    </row>
    <row r="42" spans="1:11" x14ac:dyDescent="0.2">
      <c r="A42" s="114" t="s">
        <v>262</v>
      </c>
      <c r="B42" s="492">
        <f t="shared" ref="B42:H42" si="9">B34+B40+B35</f>
        <v>135.9518123393031</v>
      </c>
      <c r="C42" s="492">
        <f t="shared" si="9"/>
        <v>155.16253065080269</v>
      </c>
      <c r="D42" s="492">
        <f t="shared" si="9"/>
        <v>180.2870445609378</v>
      </c>
      <c r="E42" s="492">
        <f t="shared" si="9"/>
        <v>213.16178560441568</v>
      </c>
      <c r="F42" s="492">
        <f t="shared" si="9"/>
        <v>250.81815998871528</v>
      </c>
      <c r="G42" s="492">
        <f t="shared" si="9"/>
        <v>295.23671452783026</v>
      </c>
      <c r="H42" s="492">
        <f t="shared" si="9"/>
        <v>348.12579273849173</v>
      </c>
      <c r="J42" s="44">
        <v>132.83005297123577</v>
      </c>
      <c r="K42" s="57">
        <f t="shared" si="0"/>
        <v>3.1217593680673303</v>
      </c>
    </row>
    <row r="43" spans="1:11" x14ac:dyDescent="0.2">
      <c r="A43" s="103"/>
      <c r="B43" s="107"/>
      <c r="C43" s="107"/>
      <c r="D43" s="107"/>
      <c r="E43" s="107"/>
      <c r="F43" s="107"/>
      <c r="G43" s="107"/>
      <c r="H43" s="107"/>
      <c r="K43" s="57">
        <f t="shared" si="0"/>
        <v>0</v>
      </c>
    </row>
    <row r="44" spans="1:11" x14ac:dyDescent="0.2">
      <c r="A44" s="113" t="s">
        <v>263</v>
      </c>
      <c r="B44" s="489">
        <f t="shared" ref="B44:H44" si="10">B32+B42</f>
        <v>187.49129278199621</v>
      </c>
      <c r="C44" s="489">
        <f t="shared" si="10"/>
        <v>206.98244233785294</v>
      </c>
      <c r="D44" s="489">
        <f t="shared" si="10"/>
        <v>233.15537052569272</v>
      </c>
      <c r="E44" s="489">
        <f t="shared" si="10"/>
        <v>267.88198330220314</v>
      </c>
      <c r="F44" s="489">
        <f t="shared" si="10"/>
        <v>318.05991839142973</v>
      </c>
      <c r="G44" s="489">
        <f t="shared" si="10"/>
        <v>376.82257692267478</v>
      </c>
      <c r="H44" s="489" t="e">
        <f t="shared" si="10"/>
        <v>#REF!</v>
      </c>
      <c r="J44" s="44">
        <v>183.84010318305729</v>
      </c>
      <c r="K44" s="57">
        <f t="shared" si="0"/>
        <v>3.6511895989389132</v>
      </c>
    </row>
    <row r="45" spans="1:11" x14ac:dyDescent="0.2">
      <c r="A45" s="103"/>
      <c r="B45" s="115"/>
      <c r="C45" s="115"/>
      <c r="D45" s="115"/>
      <c r="E45" s="115"/>
      <c r="F45" s="115"/>
      <c r="G45" s="115"/>
      <c r="H45" s="115"/>
    </row>
    <row r="46" spans="1:11" x14ac:dyDescent="0.2">
      <c r="A46" s="116" t="s">
        <v>264</v>
      </c>
      <c r="B46" s="117"/>
      <c r="C46" s="117"/>
      <c r="D46" s="117"/>
      <c r="E46" s="117"/>
      <c r="F46" s="117"/>
      <c r="G46" s="117"/>
      <c r="H46" s="117"/>
    </row>
    <row r="47" spans="1:11" x14ac:dyDescent="0.2">
      <c r="A47" s="118" t="s">
        <v>265</v>
      </c>
      <c r="B47" s="119">
        <f t="shared" ref="B47:H47" si="11">B44-B21</f>
        <v>0</v>
      </c>
      <c r="C47" s="119">
        <f t="shared" si="11"/>
        <v>0</v>
      </c>
      <c r="D47" s="119">
        <f t="shared" si="11"/>
        <v>0</v>
      </c>
      <c r="E47" s="119">
        <f t="shared" si="11"/>
        <v>0</v>
      </c>
      <c r="F47" s="119">
        <f t="shared" si="11"/>
        <v>0</v>
      </c>
      <c r="G47" s="119">
        <f t="shared" si="11"/>
        <v>0</v>
      </c>
      <c r="H47" s="119" t="e">
        <f t="shared" si="11"/>
        <v>#REF!</v>
      </c>
    </row>
    <row r="48" spans="1:11" x14ac:dyDescent="0.2">
      <c r="A48" s="118"/>
      <c r="B48" s="119"/>
      <c r="C48" s="119"/>
      <c r="D48" s="119"/>
      <c r="E48" s="119"/>
      <c r="F48" s="119"/>
      <c r="G48" s="119"/>
      <c r="H48" s="119"/>
    </row>
    <row r="49" spans="1:9" ht="15.75" thickBot="1" x14ac:dyDescent="0.25">
      <c r="A49" s="120"/>
      <c r="B49" s="121"/>
      <c r="C49" s="121"/>
      <c r="D49" s="121"/>
      <c r="E49" s="121"/>
      <c r="F49" s="121"/>
      <c r="G49" s="121"/>
      <c r="H49" s="121"/>
    </row>
    <row r="50" spans="1:9" x14ac:dyDescent="0.2">
      <c r="B50" s="47"/>
      <c r="C50" s="47"/>
      <c r="D50" s="47"/>
      <c r="E50" s="47"/>
      <c r="F50" s="47"/>
      <c r="G50" s="47"/>
      <c r="H50" s="47"/>
    </row>
    <row r="51" spans="1:9" ht="39.6" customHeight="1" x14ac:dyDescent="0.2">
      <c r="A51" s="737" t="s">
        <v>392</v>
      </c>
      <c r="B51" s="737"/>
      <c r="C51" s="737"/>
      <c r="D51" s="737"/>
      <c r="E51" s="737"/>
      <c r="F51" s="737"/>
      <c r="G51" s="737"/>
      <c r="H51" s="737"/>
      <c r="I51" s="609"/>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32"/>
  <sheetViews>
    <sheetView view="pageBreakPreview" zoomScale="55" zoomScaleNormal="100" zoomScaleSheetLayoutView="55" workbookViewId="0" xr3:uid="{44B22561-5205-5C8A-B808-2C70100D228F}">
      <selection activeCell="E46" sqref="E46"/>
    </sheetView>
  </sheetViews>
  <sheetFormatPr defaultColWidth="14.390625" defaultRowHeight="15" x14ac:dyDescent="0.2"/>
  <cols>
    <col min="1" max="1" width="44.2578125" style="653" customWidth="1"/>
    <col min="2" max="2" width="23.26953125" style="653" customWidth="1"/>
    <col min="3" max="3" width="11.56640625" style="653" customWidth="1"/>
    <col min="4" max="4" width="18.83203125" style="653" customWidth="1"/>
    <col min="5" max="5" width="15.19921875" style="653" customWidth="1"/>
    <col min="6" max="7" width="15.87109375" style="653" customWidth="1"/>
    <col min="8" max="8" width="21.25390625" style="653" customWidth="1"/>
    <col min="9" max="9" width="11.43359375" style="653" customWidth="1"/>
    <col min="10" max="10" width="9.14453125" style="653" customWidth="1"/>
    <col min="11" max="26" width="8.7421875" style="653" customWidth="1"/>
    <col min="27" max="16384" width="14.390625" style="653"/>
  </cols>
  <sheetData>
    <row r="1" spans="1:26" ht="18" x14ac:dyDescent="0.2">
      <c r="A1" s="744" t="s">
        <v>958</v>
      </c>
      <c r="B1" s="745"/>
      <c r="C1" s="745"/>
      <c r="D1" s="745"/>
      <c r="E1" s="745"/>
      <c r="F1" s="745"/>
      <c r="G1" s="745"/>
      <c r="H1" s="745"/>
    </row>
    <row r="2" spans="1:26" x14ac:dyDescent="0.2">
      <c r="B2" s="654"/>
    </row>
    <row r="3" spans="1:26" ht="18" x14ac:dyDescent="0.2">
      <c r="A3" s="746" t="s">
        <v>523</v>
      </c>
      <c r="B3" s="747"/>
    </row>
    <row r="4" spans="1:26" x14ac:dyDescent="0.2">
      <c r="A4" s="655" t="s">
        <v>0</v>
      </c>
      <c r="B4" s="656" t="s">
        <v>378</v>
      </c>
      <c r="C4" s="657"/>
      <c r="D4" s="657"/>
      <c r="E4" s="657"/>
      <c r="F4" s="657"/>
      <c r="G4" s="657"/>
      <c r="H4" s="657"/>
    </row>
    <row r="5" spans="1:26" x14ac:dyDescent="0.2">
      <c r="A5" s="658" t="s">
        <v>959</v>
      </c>
      <c r="B5" s="659"/>
      <c r="C5" s="7"/>
      <c r="D5" s="660"/>
      <c r="E5" s="660"/>
      <c r="F5" s="660"/>
      <c r="G5" s="660"/>
      <c r="H5" s="660"/>
    </row>
    <row r="6" spans="1:26" x14ac:dyDescent="0.2">
      <c r="A6" s="658" t="s">
        <v>466</v>
      </c>
      <c r="B6" s="659"/>
      <c r="C6" s="7"/>
      <c r="D6" s="660"/>
      <c r="E6" s="660"/>
      <c r="F6" s="660"/>
      <c r="G6" s="660"/>
      <c r="H6" s="660"/>
    </row>
    <row r="7" spans="1:26" x14ac:dyDescent="0.2">
      <c r="A7" s="661" t="s">
        <v>1</v>
      </c>
      <c r="B7" s="661">
        <f>B5+B6</f>
        <v>0</v>
      </c>
      <c r="C7" s="662"/>
      <c r="D7" s="663"/>
      <c r="E7" s="663"/>
      <c r="F7" s="663"/>
      <c r="G7" s="663"/>
      <c r="H7" s="663"/>
    </row>
    <row r="8" spans="1:26" x14ac:dyDescent="0.2">
      <c r="A8" s="661" t="s">
        <v>960</v>
      </c>
      <c r="B8" s="664">
        <v>1</v>
      </c>
      <c r="C8" s="662"/>
      <c r="D8" s="662"/>
      <c r="E8" s="662"/>
      <c r="F8" s="662"/>
      <c r="G8" s="662"/>
      <c r="H8" s="662"/>
    </row>
    <row r="9" spans="1:26" x14ac:dyDescent="0.2">
      <c r="A9" s="661" t="s">
        <v>961</v>
      </c>
      <c r="B9" s="661">
        <f>B7*B8</f>
        <v>0</v>
      </c>
      <c r="C9" s="663"/>
      <c r="D9" s="663"/>
      <c r="E9" s="663"/>
      <c r="F9" s="663"/>
      <c r="G9" s="663"/>
      <c r="H9" s="663"/>
    </row>
    <row r="10" spans="1:26" x14ac:dyDescent="0.2">
      <c r="J10" s="653" t="s">
        <v>443</v>
      </c>
      <c r="O10" s="653" t="s">
        <v>439</v>
      </c>
      <c r="U10" s="653" t="s">
        <v>440</v>
      </c>
      <c r="Y10" s="653" t="s">
        <v>441</v>
      </c>
      <c r="Z10" s="653" t="s">
        <v>442</v>
      </c>
    </row>
    <row r="11" spans="1:26" ht="18" x14ac:dyDescent="0.2">
      <c r="A11" s="744" t="s">
        <v>524</v>
      </c>
      <c r="B11" s="745"/>
      <c r="C11" s="745"/>
      <c r="D11" s="745"/>
      <c r="E11" s="745"/>
      <c r="F11" s="745"/>
      <c r="G11" s="745"/>
      <c r="H11" s="745"/>
      <c r="I11" s="662"/>
      <c r="J11" s="662"/>
      <c r="K11" s="662"/>
      <c r="L11" s="662"/>
      <c r="M11" s="662"/>
      <c r="N11" s="662"/>
      <c r="O11" s="662"/>
      <c r="P11" s="662"/>
    </row>
    <row r="12" spans="1:26" x14ac:dyDescent="0.2">
      <c r="J12" s="654">
        <v>0.65</v>
      </c>
      <c r="K12" s="665">
        <f t="shared" ref="K12:N12" si="0">J12+0.05</f>
        <v>0.70000000000000007</v>
      </c>
      <c r="L12" s="665">
        <f t="shared" si="0"/>
        <v>0.75000000000000011</v>
      </c>
      <c r="M12" s="665">
        <f t="shared" si="0"/>
        <v>0.80000000000000016</v>
      </c>
      <c r="N12" s="665">
        <f t="shared" si="0"/>
        <v>0.8500000000000002</v>
      </c>
      <c r="O12" s="654">
        <v>0.4</v>
      </c>
      <c r="P12" s="654">
        <f t="shared" ref="P12:T12" si="1">O12+0.05</f>
        <v>0.45</v>
      </c>
      <c r="Q12" s="654">
        <f t="shared" si="1"/>
        <v>0.5</v>
      </c>
      <c r="R12" s="654">
        <f t="shared" si="1"/>
        <v>0.55000000000000004</v>
      </c>
      <c r="S12" s="654">
        <f t="shared" si="1"/>
        <v>0.60000000000000009</v>
      </c>
      <c r="T12" s="654">
        <f t="shared" si="1"/>
        <v>0.65000000000000013</v>
      </c>
      <c r="U12" s="654">
        <v>0.1</v>
      </c>
      <c r="V12" s="666">
        <f t="shared" ref="V12:X12" si="2">U12+0.05</f>
        <v>0.15000000000000002</v>
      </c>
      <c r="W12" s="666">
        <f t="shared" si="2"/>
        <v>0.2</v>
      </c>
      <c r="X12" s="666">
        <f t="shared" si="2"/>
        <v>0.25</v>
      </c>
    </row>
    <row r="13" spans="1:26" ht="27.75" x14ac:dyDescent="0.2">
      <c r="A13" s="655" t="s">
        <v>380</v>
      </c>
      <c r="B13" s="655" t="s">
        <v>381</v>
      </c>
      <c r="C13" s="667" t="s">
        <v>436</v>
      </c>
      <c r="D13" s="667" t="s">
        <v>444</v>
      </c>
      <c r="E13" s="667" t="s">
        <v>445</v>
      </c>
      <c r="F13" s="667" t="s">
        <v>382</v>
      </c>
      <c r="G13" s="667" t="s">
        <v>587</v>
      </c>
      <c r="H13" s="667" t="s">
        <v>383</v>
      </c>
      <c r="O13" s="668" t="s">
        <v>2</v>
      </c>
      <c r="P13" s="668" t="s">
        <v>3</v>
      </c>
      <c r="Q13" s="668" t="s">
        <v>4</v>
      </c>
      <c r="R13" s="668" t="s">
        <v>5</v>
      </c>
      <c r="S13" s="668" t="s">
        <v>6</v>
      </c>
      <c r="T13" s="668" t="s">
        <v>2</v>
      </c>
      <c r="U13" s="668" t="s">
        <v>3</v>
      </c>
      <c r="V13" s="668" t="s">
        <v>4</v>
      </c>
      <c r="W13" s="668" t="s">
        <v>5</v>
      </c>
      <c r="X13" s="668" t="s">
        <v>6</v>
      </c>
    </row>
    <row r="14" spans="1:26" x14ac:dyDescent="0.2">
      <c r="A14" s="748" t="s">
        <v>384</v>
      </c>
      <c r="B14" s="659" t="s">
        <v>962</v>
      </c>
      <c r="C14" s="669">
        <v>0</v>
      </c>
      <c r="D14" s="658">
        <f t="shared" ref="D14:D22" si="3">$B$9*C14</f>
        <v>0</v>
      </c>
      <c r="E14" s="670">
        <v>15</v>
      </c>
      <c r="F14" s="658">
        <f t="shared" ref="F14:F22" si="4">D14*E14</f>
        <v>0</v>
      </c>
      <c r="G14" s="671">
        <v>0.1</v>
      </c>
      <c r="H14" s="658">
        <f t="shared" ref="H14:H22" si="5">(F14-F14*G14)</f>
        <v>0</v>
      </c>
      <c r="J14" s="653">
        <f t="shared" ref="J14:N14" si="6">$D$14*J12</f>
        <v>0</v>
      </c>
      <c r="K14" s="653">
        <f t="shared" si="6"/>
        <v>0</v>
      </c>
      <c r="L14" s="653">
        <f t="shared" si="6"/>
        <v>0</v>
      </c>
      <c r="M14" s="653">
        <f t="shared" si="6"/>
        <v>0</v>
      </c>
      <c r="N14" s="653">
        <f t="shared" si="6"/>
        <v>0</v>
      </c>
    </row>
    <row r="15" spans="1:26" x14ac:dyDescent="0.2">
      <c r="A15" s="749"/>
      <c r="B15" s="659" t="s">
        <v>640</v>
      </c>
      <c r="C15" s="669">
        <v>0</v>
      </c>
      <c r="D15" s="658">
        <f t="shared" si="3"/>
        <v>0</v>
      </c>
      <c r="E15" s="670">
        <v>7</v>
      </c>
      <c r="F15" s="658">
        <f t="shared" si="4"/>
        <v>0</v>
      </c>
      <c r="G15" s="671">
        <v>0.05</v>
      </c>
      <c r="H15" s="658">
        <f t="shared" si="5"/>
        <v>0</v>
      </c>
    </row>
    <row r="16" spans="1:26" x14ac:dyDescent="0.2">
      <c r="A16" s="749"/>
      <c r="B16" s="659" t="s">
        <v>963</v>
      </c>
      <c r="C16" s="669">
        <v>0</v>
      </c>
      <c r="D16" s="658">
        <f t="shared" si="3"/>
        <v>0</v>
      </c>
      <c r="E16" s="670">
        <v>4</v>
      </c>
      <c r="F16" s="658">
        <f t="shared" si="4"/>
        <v>0</v>
      </c>
      <c r="G16" s="671">
        <v>0</v>
      </c>
      <c r="H16" s="658">
        <f t="shared" si="5"/>
        <v>0</v>
      </c>
    </row>
    <row r="17" spans="1:8" x14ac:dyDescent="0.2">
      <c r="A17" s="749"/>
      <c r="B17" s="659" t="s">
        <v>464</v>
      </c>
      <c r="C17" s="669">
        <v>0</v>
      </c>
      <c r="D17" s="658">
        <f t="shared" si="3"/>
        <v>0</v>
      </c>
      <c r="E17" s="670">
        <v>7</v>
      </c>
      <c r="F17" s="658">
        <f t="shared" si="4"/>
        <v>0</v>
      </c>
      <c r="G17" s="671">
        <v>0.02</v>
      </c>
      <c r="H17" s="658">
        <f t="shared" si="5"/>
        <v>0</v>
      </c>
    </row>
    <row r="18" spans="1:8" x14ac:dyDescent="0.2">
      <c r="A18" s="749"/>
      <c r="B18" s="659" t="s">
        <v>964</v>
      </c>
      <c r="C18" s="669">
        <v>0</v>
      </c>
      <c r="D18" s="658">
        <f t="shared" si="3"/>
        <v>0</v>
      </c>
      <c r="E18" s="670">
        <v>20</v>
      </c>
      <c r="F18" s="658">
        <f t="shared" si="4"/>
        <v>0</v>
      </c>
      <c r="G18" s="671">
        <v>0</v>
      </c>
      <c r="H18" s="658">
        <f t="shared" si="5"/>
        <v>0</v>
      </c>
    </row>
    <row r="19" spans="1:8" x14ac:dyDescent="0.2">
      <c r="A19" s="749"/>
      <c r="B19" s="659"/>
      <c r="C19" s="669">
        <v>0</v>
      </c>
      <c r="D19" s="658">
        <f t="shared" si="3"/>
        <v>0</v>
      </c>
      <c r="E19" s="670">
        <v>7</v>
      </c>
      <c r="F19" s="658">
        <f t="shared" si="4"/>
        <v>0</v>
      </c>
      <c r="G19" s="671">
        <v>0.1</v>
      </c>
      <c r="H19" s="658">
        <f t="shared" si="5"/>
        <v>0</v>
      </c>
    </row>
    <row r="20" spans="1:8" x14ac:dyDescent="0.2">
      <c r="A20" s="749"/>
      <c r="B20" s="659"/>
      <c r="C20" s="669">
        <v>0</v>
      </c>
      <c r="D20" s="658">
        <f t="shared" si="3"/>
        <v>0</v>
      </c>
      <c r="E20" s="670">
        <v>6</v>
      </c>
      <c r="F20" s="658">
        <f t="shared" si="4"/>
        <v>0</v>
      </c>
      <c r="G20" s="671">
        <v>0.02</v>
      </c>
      <c r="H20" s="658">
        <f t="shared" si="5"/>
        <v>0</v>
      </c>
    </row>
    <row r="21" spans="1:8" x14ac:dyDescent="0.2">
      <c r="A21" s="749"/>
      <c r="B21" s="659"/>
      <c r="C21" s="669">
        <v>0</v>
      </c>
      <c r="D21" s="658">
        <f t="shared" si="3"/>
        <v>0</v>
      </c>
      <c r="E21" s="670"/>
      <c r="F21" s="658">
        <f t="shared" si="4"/>
        <v>0</v>
      </c>
      <c r="G21" s="671">
        <v>0</v>
      </c>
      <c r="H21" s="658">
        <f t="shared" si="5"/>
        <v>0</v>
      </c>
    </row>
    <row r="22" spans="1:8" x14ac:dyDescent="0.2">
      <c r="A22" s="742"/>
      <c r="B22" s="659"/>
      <c r="C22" s="669">
        <v>0</v>
      </c>
      <c r="D22" s="658">
        <f t="shared" si="3"/>
        <v>0</v>
      </c>
      <c r="E22" s="670"/>
      <c r="F22" s="658">
        <f t="shared" si="4"/>
        <v>0</v>
      </c>
      <c r="G22" s="671">
        <v>0</v>
      </c>
      <c r="H22" s="658">
        <f t="shared" si="5"/>
        <v>0</v>
      </c>
    </row>
    <row r="23" spans="1:8" x14ac:dyDescent="0.2">
      <c r="A23" s="672" t="s">
        <v>467</v>
      </c>
      <c r="B23" s="669"/>
      <c r="C23" s="659">
        <f>B9*B23</f>
        <v>0</v>
      </c>
      <c r="D23" s="658"/>
      <c r="E23" s="670"/>
      <c r="F23" s="658"/>
      <c r="G23" s="671"/>
      <c r="H23" s="658"/>
    </row>
    <row r="24" spans="1:8" x14ac:dyDescent="0.2">
      <c r="A24" s="748" t="s">
        <v>385</v>
      </c>
      <c r="B24" s="659" t="s">
        <v>962</v>
      </c>
      <c r="C24" s="669">
        <v>0</v>
      </c>
      <c r="D24" s="658">
        <f t="shared" ref="D24:D31" si="7">C$23*C24</f>
        <v>0</v>
      </c>
      <c r="E24" s="670">
        <v>10</v>
      </c>
      <c r="F24" s="658">
        <f t="shared" ref="F24:F31" si="8">D24*E24</f>
        <v>0</v>
      </c>
      <c r="G24" s="671">
        <v>0.1</v>
      </c>
      <c r="H24" s="658">
        <f t="shared" ref="H24:H31" si="9">(F24-F24*G24)</f>
        <v>0</v>
      </c>
    </row>
    <row r="25" spans="1:8" x14ac:dyDescent="0.2">
      <c r="A25" s="749"/>
      <c r="B25" s="659" t="s">
        <v>640</v>
      </c>
      <c r="C25" s="669">
        <v>0</v>
      </c>
      <c r="D25" s="658">
        <f t="shared" si="7"/>
        <v>0</v>
      </c>
      <c r="E25" s="670">
        <v>10</v>
      </c>
      <c r="F25" s="658">
        <f t="shared" si="8"/>
        <v>0</v>
      </c>
      <c r="G25" s="671">
        <v>0.1</v>
      </c>
      <c r="H25" s="658">
        <f t="shared" si="9"/>
        <v>0</v>
      </c>
    </row>
    <row r="26" spans="1:8" x14ac:dyDescent="0.2">
      <c r="A26" s="749"/>
      <c r="B26" s="659" t="s">
        <v>963</v>
      </c>
      <c r="C26" s="669">
        <v>0</v>
      </c>
      <c r="D26" s="658">
        <f t="shared" si="7"/>
        <v>0</v>
      </c>
      <c r="E26" s="670">
        <v>10</v>
      </c>
      <c r="F26" s="658">
        <f t="shared" si="8"/>
        <v>0</v>
      </c>
      <c r="G26" s="671">
        <v>0.05</v>
      </c>
      <c r="H26" s="658">
        <f t="shared" si="9"/>
        <v>0</v>
      </c>
    </row>
    <row r="27" spans="1:8" x14ac:dyDescent="0.2">
      <c r="A27" s="749"/>
      <c r="B27" s="659" t="s">
        <v>464</v>
      </c>
      <c r="C27" s="669">
        <v>0</v>
      </c>
      <c r="D27" s="658">
        <f t="shared" si="7"/>
        <v>0</v>
      </c>
      <c r="E27" s="670">
        <v>20</v>
      </c>
      <c r="F27" s="658">
        <f t="shared" si="8"/>
        <v>0</v>
      </c>
      <c r="G27" s="671">
        <v>0</v>
      </c>
      <c r="H27" s="658">
        <f t="shared" si="9"/>
        <v>0</v>
      </c>
    </row>
    <row r="28" spans="1:8" x14ac:dyDescent="0.2">
      <c r="A28" s="749"/>
      <c r="B28" s="659" t="s">
        <v>965</v>
      </c>
      <c r="C28" s="669">
        <v>0</v>
      </c>
      <c r="D28" s="658">
        <f t="shared" si="7"/>
        <v>0</v>
      </c>
      <c r="E28" s="670"/>
      <c r="F28" s="658">
        <f t="shared" si="8"/>
        <v>0</v>
      </c>
      <c r="G28" s="671">
        <v>0</v>
      </c>
      <c r="H28" s="658">
        <f t="shared" si="9"/>
        <v>0</v>
      </c>
    </row>
    <row r="29" spans="1:8" x14ac:dyDescent="0.2">
      <c r="A29" s="749"/>
      <c r="B29" s="659"/>
      <c r="C29" s="669">
        <v>0</v>
      </c>
      <c r="D29" s="658">
        <f t="shared" si="7"/>
        <v>0</v>
      </c>
      <c r="E29" s="670"/>
      <c r="F29" s="658">
        <f t="shared" si="8"/>
        <v>0</v>
      </c>
      <c r="G29" s="671">
        <v>0</v>
      </c>
      <c r="H29" s="658">
        <f t="shared" si="9"/>
        <v>0</v>
      </c>
    </row>
    <row r="30" spans="1:8" x14ac:dyDescent="0.2">
      <c r="A30" s="749"/>
      <c r="B30" s="659"/>
      <c r="C30" s="669">
        <v>0</v>
      </c>
      <c r="D30" s="658">
        <f t="shared" si="7"/>
        <v>0</v>
      </c>
      <c r="E30" s="670"/>
      <c r="F30" s="658">
        <f t="shared" si="8"/>
        <v>0</v>
      </c>
      <c r="G30" s="671">
        <v>0</v>
      </c>
      <c r="H30" s="658">
        <f t="shared" si="9"/>
        <v>0</v>
      </c>
    </row>
    <row r="31" spans="1:8" x14ac:dyDescent="0.2">
      <c r="A31" s="742"/>
      <c r="B31" s="659"/>
      <c r="C31" s="669">
        <v>0</v>
      </c>
      <c r="D31" s="658">
        <f t="shared" si="7"/>
        <v>0</v>
      </c>
      <c r="E31" s="670"/>
      <c r="F31" s="658">
        <f t="shared" si="8"/>
        <v>0</v>
      </c>
      <c r="G31" s="671">
        <v>0</v>
      </c>
      <c r="H31" s="658">
        <f t="shared" si="9"/>
        <v>0</v>
      </c>
    </row>
    <row r="32" spans="1:8" x14ac:dyDescent="0.2">
      <c r="A32" s="672" t="s">
        <v>468</v>
      </c>
      <c r="B32" s="669"/>
      <c r="C32" s="659">
        <f>B9*B32</f>
        <v>0</v>
      </c>
      <c r="D32" s="658"/>
      <c r="E32" s="670"/>
      <c r="F32" s="658"/>
      <c r="G32" s="671"/>
      <c r="H32" s="658"/>
    </row>
    <row r="33" spans="1:8" x14ac:dyDescent="0.2">
      <c r="A33" s="652" t="s">
        <v>449</v>
      </c>
      <c r="B33" s="659"/>
      <c r="C33" s="669">
        <v>0</v>
      </c>
      <c r="D33" s="658">
        <f t="shared" ref="D33:D36" si="10">C$32*C33</f>
        <v>0</v>
      </c>
      <c r="E33" s="670"/>
      <c r="F33" s="658">
        <f t="shared" ref="F33:F40" si="11">D33*E33</f>
        <v>0</v>
      </c>
      <c r="G33" s="671">
        <v>0</v>
      </c>
      <c r="H33" s="658">
        <f t="shared" ref="H33:H40" si="12">(F33-F33*G33)</f>
        <v>0</v>
      </c>
    </row>
    <row r="34" spans="1:8" x14ac:dyDescent="0.2">
      <c r="A34" s="673"/>
      <c r="B34" s="659"/>
      <c r="C34" s="669">
        <v>0</v>
      </c>
      <c r="D34" s="658">
        <f t="shared" si="10"/>
        <v>0</v>
      </c>
      <c r="E34" s="670"/>
      <c r="F34" s="658">
        <f t="shared" si="11"/>
        <v>0</v>
      </c>
      <c r="G34" s="671">
        <v>0</v>
      </c>
      <c r="H34" s="658">
        <f t="shared" si="12"/>
        <v>0</v>
      </c>
    </row>
    <row r="35" spans="1:8" x14ac:dyDescent="0.2">
      <c r="A35" s="673"/>
      <c r="B35" s="659"/>
      <c r="C35" s="669">
        <v>0</v>
      </c>
      <c r="D35" s="658">
        <f t="shared" si="10"/>
        <v>0</v>
      </c>
      <c r="E35" s="670"/>
      <c r="F35" s="658">
        <f t="shared" si="11"/>
        <v>0</v>
      </c>
      <c r="G35" s="671">
        <v>0</v>
      </c>
      <c r="H35" s="658">
        <f t="shared" si="12"/>
        <v>0</v>
      </c>
    </row>
    <row r="36" spans="1:8" x14ac:dyDescent="0.2">
      <c r="A36" s="674"/>
      <c r="B36" s="659"/>
      <c r="C36" s="669">
        <v>0</v>
      </c>
      <c r="D36" s="658">
        <f t="shared" si="10"/>
        <v>0</v>
      </c>
      <c r="E36" s="670"/>
      <c r="F36" s="658">
        <f t="shared" si="11"/>
        <v>0</v>
      </c>
      <c r="G36" s="671">
        <v>0</v>
      </c>
      <c r="H36" s="658">
        <f t="shared" si="12"/>
        <v>0</v>
      </c>
    </row>
    <row r="37" spans="1:8" x14ac:dyDescent="0.2">
      <c r="A37" s="750" t="s">
        <v>966</v>
      </c>
      <c r="B37" s="659" t="s">
        <v>465</v>
      </c>
      <c r="C37" s="669">
        <v>0</v>
      </c>
      <c r="D37" s="658">
        <f t="shared" ref="D37:D40" si="13">$B$9*C37</f>
        <v>0</v>
      </c>
      <c r="E37" s="670">
        <v>6</v>
      </c>
      <c r="F37" s="658">
        <f t="shared" si="11"/>
        <v>0</v>
      </c>
      <c r="G37" s="671">
        <v>0.05</v>
      </c>
      <c r="H37" s="658">
        <f t="shared" si="12"/>
        <v>0</v>
      </c>
    </row>
    <row r="38" spans="1:8" x14ac:dyDescent="0.2">
      <c r="A38" s="749"/>
      <c r="B38" s="659" t="s">
        <v>967</v>
      </c>
      <c r="C38" s="669">
        <v>0</v>
      </c>
      <c r="D38" s="658">
        <f t="shared" si="13"/>
        <v>0</v>
      </c>
      <c r="E38" s="670"/>
      <c r="F38" s="658">
        <f t="shared" si="11"/>
        <v>0</v>
      </c>
      <c r="G38" s="671">
        <v>0</v>
      </c>
      <c r="H38" s="658">
        <f t="shared" si="12"/>
        <v>0</v>
      </c>
    </row>
    <row r="39" spans="1:8" x14ac:dyDescent="0.2">
      <c r="A39" s="749"/>
      <c r="B39" s="659" t="s">
        <v>968</v>
      </c>
      <c r="C39" s="669">
        <v>0</v>
      </c>
      <c r="D39" s="658">
        <f t="shared" si="13"/>
        <v>0</v>
      </c>
      <c r="E39" s="670"/>
      <c r="F39" s="658">
        <f t="shared" si="11"/>
        <v>0</v>
      </c>
      <c r="G39" s="671">
        <v>0</v>
      </c>
      <c r="H39" s="658">
        <f t="shared" si="12"/>
        <v>0</v>
      </c>
    </row>
    <row r="40" spans="1:8" x14ac:dyDescent="0.2">
      <c r="A40" s="742"/>
      <c r="B40" s="659" t="s">
        <v>969</v>
      </c>
      <c r="C40" s="669">
        <v>0</v>
      </c>
      <c r="D40" s="658">
        <f t="shared" si="13"/>
        <v>0</v>
      </c>
      <c r="E40" s="670"/>
      <c r="F40" s="658">
        <f t="shared" si="11"/>
        <v>0</v>
      </c>
      <c r="G40" s="671">
        <v>0</v>
      </c>
      <c r="H40" s="658">
        <f t="shared" si="12"/>
        <v>0</v>
      </c>
    </row>
    <row r="41" spans="1:8" x14ac:dyDescent="0.2">
      <c r="A41" s="751" t="s">
        <v>386</v>
      </c>
      <c r="B41" s="745"/>
      <c r="C41" s="745"/>
      <c r="D41" s="745"/>
      <c r="E41" s="745"/>
      <c r="F41" s="745"/>
      <c r="G41" s="745"/>
      <c r="H41" s="745"/>
    </row>
    <row r="43" spans="1:8" ht="18" x14ac:dyDescent="0.2">
      <c r="A43" s="752" t="s">
        <v>970</v>
      </c>
      <c r="B43" s="739"/>
      <c r="C43" s="739"/>
      <c r="D43" s="739"/>
      <c r="E43" s="739"/>
      <c r="F43" s="739"/>
      <c r="G43" s="739"/>
      <c r="H43" s="740"/>
    </row>
    <row r="44" spans="1:8" x14ac:dyDescent="0.2">
      <c r="A44" s="753" t="s">
        <v>0</v>
      </c>
      <c r="B44" s="675">
        <v>0.35</v>
      </c>
      <c r="C44" s="675">
        <f t="shared" ref="C44:H44" si="14">B44+0.05</f>
        <v>0.39999999999999997</v>
      </c>
      <c r="D44" s="675">
        <f t="shared" si="14"/>
        <v>0.44999999999999996</v>
      </c>
      <c r="E44" s="675">
        <f t="shared" si="14"/>
        <v>0.49999999999999994</v>
      </c>
      <c r="F44" s="675">
        <f t="shared" si="14"/>
        <v>0.54999999999999993</v>
      </c>
      <c r="G44" s="675">
        <f t="shared" si="14"/>
        <v>0.6</v>
      </c>
      <c r="H44" s="675">
        <f t="shared" si="14"/>
        <v>0.65</v>
      </c>
    </row>
    <row r="45" spans="1:8" x14ac:dyDescent="0.2">
      <c r="A45" s="742"/>
      <c r="B45" s="656" t="s">
        <v>2</v>
      </c>
      <c r="C45" s="656" t="s">
        <v>3</v>
      </c>
      <c r="D45" s="656" t="s">
        <v>4</v>
      </c>
      <c r="E45" s="656" t="s">
        <v>5</v>
      </c>
      <c r="F45" s="656" t="s">
        <v>6</v>
      </c>
      <c r="G45" s="656" t="s">
        <v>163</v>
      </c>
      <c r="H45" s="656" t="s">
        <v>162</v>
      </c>
    </row>
    <row r="46" spans="1:8" x14ac:dyDescent="0.2">
      <c r="A46" s="658" t="str">
        <f t="shared" ref="A46:A54" si="15">B14</f>
        <v>Onion</v>
      </c>
      <c r="B46" s="658">
        <f t="shared" ref="B46:B54" si="16">H14*$B$44</f>
        <v>0</v>
      </c>
      <c r="C46" s="658">
        <f t="shared" ref="C46:H61" si="17">(B46/B$44)*C$44</f>
        <v>0</v>
      </c>
      <c r="D46" s="658">
        <f t="shared" si="17"/>
        <v>0</v>
      </c>
      <c r="E46" s="658">
        <f t="shared" si="17"/>
        <v>0</v>
      </c>
      <c r="F46" s="658">
        <f t="shared" si="17"/>
        <v>0</v>
      </c>
      <c r="G46" s="658">
        <f t="shared" si="17"/>
        <v>0</v>
      </c>
      <c r="H46" s="658">
        <f t="shared" si="17"/>
        <v>0</v>
      </c>
    </row>
    <row r="47" spans="1:8" x14ac:dyDescent="0.2">
      <c r="A47" s="658" t="str">
        <f t="shared" si="15"/>
        <v>Tomato</v>
      </c>
      <c r="B47" s="658">
        <f t="shared" si="16"/>
        <v>0</v>
      </c>
      <c r="C47" s="658">
        <f t="shared" si="17"/>
        <v>0</v>
      </c>
      <c r="D47" s="658">
        <f t="shared" si="17"/>
        <v>0</v>
      </c>
      <c r="E47" s="658">
        <f t="shared" si="17"/>
        <v>0</v>
      </c>
      <c r="F47" s="658">
        <f t="shared" si="17"/>
        <v>0</v>
      </c>
      <c r="G47" s="658">
        <f t="shared" si="17"/>
        <v>0</v>
      </c>
      <c r="H47" s="658">
        <f t="shared" si="17"/>
        <v>0</v>
      </c>
    </row>
    <row r="48" spans="1:8" x14ac:dyDescent="0.2">
      <c r="A48" s="658" t="str">
        <f t="shared" si="15"/>
        <v>Okra</v>
      </c>
      <c r="B48" s="658">
        <f t="shared" si="16"/>
        <v>0</v>
      </c>
      <c r="C48" s="658">
        <f t="shared" si="17"/>
        <v>0</v>
      </c>
      <c r="D48" s="658">
        <f t="shared" si="17"/>
        <v>0</v>
      </c>
      <c r="E48" s="658">
        <f t="shared" si="17"/>
        <v>0</v>
      </c>
      <c r="F48" s="658">
        <f t="shared" si="17"/>
        <v>0</v>
      </c>
      <c r="G48" s="658">
        <f t="shared" si="17"/>
        <v>0</v>
      </c>
      <c r="H48" s="658">
        <f t="shared" si="17"/>
        <v>0</v>
      </c>
    </row>
    <row r="49" spans="1:8" x14ac:dyDescent="0.2">
      <c r="A49" s="658" t="str">
        <f t="shared" si="15"/>
        <v>Chilli</v>
      </c>
      <c r="B49" s="658">
        <f t="shared" si="16"/>
        <v>0</v>
      </c>
      <c r="C49" s="658">
        <f t="shared" si="17"/>
        <v>0</v>
      </c>
      <c r="D49" s="658">
        <f t="shared" si="17"/>
        <v>0</v>
      </c>
      <c r="E49" s="658">
        <f t="shared" si="17"/>
        <v>0</v>
      </c>
      <c r="F49" s="658">
        <f t="shared" si="17"/>
        <v>0</v>
      </c>
      <c r="G49" s="658">
        <f t="shared" si="17"/>
        <v>0</v>
      </c>
      <c r="H49" s="658">
        <f t="shared" si="17"/>
        <v>0</v>
      </c>
    </row>
    <row r="50" spans="1:8" x14ac:dyDescent="0.2">
      <c r="A50" s="658" t="str">
        <f t="shared" si="15"/>
        <v>Potato</v>
      </c>
      <c r="B50" s="658">
        <f t="shared" si="16"/>
        <v>0</v>
      </c>
      <c r="C50" s="658">
        <f t="shared" si="17"/>
        <v>0</v>
      </c>
      <c r="D50" s="658">
        <f t="shared" si="17"/>
        <v>0</v>
      </c>
      <c r="E50" s="658">
        <f t="shared" si="17"/>
        <v>0</v>
      </c>
      <c r="F50" s="658">
        <f t="shared" si="17"/>
        <v>0</v>
      </c>
      <c r="G50" s="658">
        <f t="shared" si="17"/>
        <v>0</v>
      </c>
      <c r="H50" s="658">
        <f t="shared" si="17"/>
        <v>0</v>
      </c>
    </row>
    <row r="51" spans="1:8" x14ac:dyDescent="0.2">
      <c r="A51" s="658">
        <f t="shared" si="15"/>
        <v>0</v>
      </c>
      <c r="B51" s="658">
        <f t="shared" si="16"/>
        <v>0</v>
      </c>
      <c r="C51" s="658">
        <f t="shared" si="17"/>
        <v>0</v>
      </c>
      <c r="D51" s="658">
        <f t="shared" si="17"/>
        <v>0</v>
      </c>
      <c r="E51" s="658">
        <f t="shared" si="17"/>
        <v>0</v>
      </c>
      <c r="F51" s="658">
        <f t="shared" si="17"/>
        <v>0</v>
      </c>
      <c r="G51" s="658">
        <f t="shared" si="17"/>
        <v>0</v>
      </c>
      <c r="H51" s="658">
        <f t="shared" si="17"/>
        <v>0</v>
      </c>
    </row>
    <row r="52" spans="1:8" x14ac:dyDescent="0.2">
      <c r="A52" s="658">
        <f t="shared" si="15"/>
        <v>0</v>
      </c>
      <c r="B52" s="658">
        <f t="shared" si="16"/>
        <v>0</v>
      </c>
      <c r="C52" s="658">
        <f t="shared" si="17"/>
        <v>0</v>
      </c>
      <c r="D52" s="658">
        <f t="shared" si="17"/>
        <v>0</v>
      </c>
      <c r="E52" s="658">
        <f t="shared" si="17"/>
        <v>0</v>
      </c>
      <c r="F52" s="658">
        <f t="shared" si="17"/>
        <v>0</v>
      </c>
      <c r="G52" s="658">
        <f t="shared" si="17"/>
        <v>0</v>
      </c>
      <c r="H52" s="658">
        <f t="shared" si="17"/>
        <v>0</v>
      </c>
    </row>
    <row r="53" spans="1:8" x14ac:dyDescent="0.2">
      <c r="A53" s="658">
        <f t="shared" si="15"/>
        <v>0</v>
      </c>
      <c r="B53" s="658">
        <f t="shared" si="16"/>
        <v>0</v>
      </c>
      <c r="C53" s="658">
        <f t="shared" si="17"/>
        <v>0</v>
      </c>
      <c r="D53" s="658">
        <f t="shared" si="17"/>
        <v>0</v>
      </c>
      <c r="E53" s="658">
        <f t="shared" si="17"/>
        <v>0</v>
      </c>
      <c r="F53" s="658">
        <f t="shared" si="17"/>
        <v>0</v>
      </c>
      <c r="G53" s="658">
        <f t="shared" si="17"/>
        <v>0</v>
      </c>
      <c r="H53" s="658">
        <f t="shared" si="17"/>
        <v>0</v>
      </c>
    </row>
    <row r="54" spans="1:8" x14ac:dyDescent="0.2">
      <c r="A54" s="658">
        <f t="shared" si="15"/>
        <v>0</v>
      </c>
      <c r="B54" s="658">
        <f t="shared" si="16"/>
        <v>0</v>
      </c>
      <c r="C54" s="658">
        <f t="shared" si="17"/>
        <v>0</v>
      </c>
      <c r="D54" s="658">
        <f t="shared" si="17"/>
        <v>0</v>
      </c>
      <c r="E54" s="658">
        <f t="shared" si="17"/>
        <v>0</v>
      </c>
      <c r="F54" s="658">
        <f t="shared" si="17"/>
        <v>0</v>
      </c>
      <c r="G54" s="658">
        <f t="shared" si="17"/>
        <v>0</v>
      </c>
      <c r="H54" s="658">
        <f t="shared" si="17"/>
        <v>0</v>
      </c>
    </row>
    <row r="55" spans="1:8" x14ac:dyDescent="0.2">
      <c r="A55" s="658" t="str">
        <f t="shared" ref="A55:A62" si="18">B24</f>
        <v>Onion</v>
      </c>
      <c r="B55" s="658">
        <f t="shared" ref="B55:B62" si="19">H24*$B$44</f>
        <v>0</v>
      </c>
      <c r="C55" s="658">
        <f t="shared" si="17"/>
        <v>0</v>
      </c>
      <c r="D55" s="658">
        <f t="shared" si="17"/>
        <v>0</v>
      </c>
      <c r="E55" s="658">
        <f t="shared" si="17"/>
        <v>0</v>
      </c>
      <c r="F55" s="658">
        <f t="shared" si="17"/>
        <v>0</v>
      </c>
      <c r="G55" s="658">
        <f t="shared" si="17"/>
        <v>0</v>
      </c>
      <c r="H55" s="658">
        <f t="shared" si="17"/>
        <v>0</v>
      </c>
    </row>
    <row r="56" spans="1:8" x14ac:dyDescent="0.2">
      <c r="A56" s="658" t="str">
        <f t="shared" si="18"/>
        <v>Tomato</v>
      </c>
      <c r="B56" s="658">
        <f t="shared" si="19"/>
        <v>0</v>
      </c>
      <c r="C56" s="658">
        <f t="shared" si="17"/>
        <v>0</v>
      </c>
      <c r="D56" s="658">
        <f t="shared" si="17"/>
        <v>0</v>
      </c>
      <c r="E56" s="658">
        <f t="shared" si="17"/>
        <v>0</v>
      </c>
      <c r="F56" s="658">
        <f t="shared" si="17"/>
        <v>0</v>
      </c>
      <c r="G56" s="658">
        <f t="shared" si="17"/>
        <v>0</v>
      </c>
      <c r="H56" s="658">
        <f t="shared" si="17"/>
        <v>0</v>
      </c>
    </row>
    <row r="57" spans="1:8" x14ac:dyDescent="0.2">
      <c r="A57" s="658" t="str">
        <f t="shared" si="18"/>
        <v>Okra</v>
      </c>
      <c r="B57" s="658">
        <f t="shared" si="19"/>
        <v>0</v>
      </c>
      <c r="C57" s="658">
        <f t="shared" si="17"/>
        <v>0</v>
      </c>
      <c r="D57" s="658">
        <f t="shared" si="17"/>
        <v>0</v>
      </c>
      <c r="E57" s="658">
        <f t="shared" si="17"/>
        <v>0</v>
      </c>
      <c r="F57" s="658">
        <f t="shared" si="17"/>
        <v>0</v>
      </c>
      <c r="G57" s="658">
        <f t="shared" si="17"/>
        <v>0</v>
      </c>
      <c r="H57" s="658">
        <f t="shared" si="17"/>
        <v>0</v>
      </c>
    </row>
    <row r="58" spans="1:8" x14ac:dyDescent="0.2">
      <c r="A58" s="658" t="str">
        <f t="shared" si="18"/>
        <v>Chilli</v>
      </c>
      <c r="B58" s="658">
        <f t="shared" si="19"/>
        <v>0</v>
      </c>
      <c r="C58" s="658">
        <f t="shared" si="17"/>
        <v>0</v>
      </c>
      <c r="D58" s="658">
        <f t="shared" si="17"/>
        <v>0</v>
      </c>
      <c r="E58" s="658">
        <f t="shared" si="17"/>
        <v>0</v>
      </c>
      <c r="F58" s="658">
        <f t="shared" si="17"/>
        <v>0</v>
      </c>
      <c r="G58" s="658">
        <f t="shared" si="17"/>
        <v>0</v>
      </c>
      <c r="H58" s="658">
        <f t="shared" si="17"/>
        <v>0</v>
      </c>
    </row>
    <row r="59" spans="1:8" x14ac:dyDescent="0.2">
      <c r="A59" s="658" t="str">
        <f t="shared" si="18"/>
        <v>Brinjal</v>
      </c>
      <c r="B59" s="658">
        <f t="shared" si="19"/>
        <v>0</v>
      </c>
      <c r="C59" s="658">
        <f t="shared" si="17"/>
        <v>0</v>
      </c>
      <c r="D59" s="658">
        <f t="shared" si="17"/>
        <v>0</v>
      </c>
      <c r="E59" s="658">
        <f t="shared" si="17"/>
        <v>0</v>
      </c>
      <c r="F59" s="658">
        <f t="shared" si="17"/>
        <v>0</v>
      </c>
      <c r="G59" s="658">
        <f t="shared" si="17"/>
        <v>0</v>
      </c>
      <c r="H59" s="658">
        <f t="shared" si="17"/>
        <v>0</v>
      </c>
    </row>
    <row r="60" spans="1:8" x14ac:dyDescent="0.2">
      <c r="A60" s="658">
        <f t="shared" si="18"/>
        <v>0</v>
      </c>
      <c r="B60" s="658">
        <f t="shared" si="19"/>
        <v>0</v>
      </c>
      <c r="C60" s="658">
        <f t="shared" si="17"/>
        <v>0</v>
      </c>
      <c r="D60" s="658">
        <f t="shared" si="17"/>
        <v>0</v>
      </c>
      <c r="E60" s="658">
        <f t="shared" si="17"/>
        <v>0</v>
      </c>
      <c r="F60" s="658">
        <f t="shared" si="17"/>
        <v>0</v>
      </c>
      <c r="G60" s="658">
        <f t="shared" si="17"/>
        <v>0</v>
      </c>
      <c r="H60" s="658">
        <f t="shared" si="17"/>
        <v>0</v>
      </c>
    </row>
    <row r="61" spans="1:8" x14ac:dyDescent="0.2">
      <c r="A61" s="658">
        <f t="shared" si="18"/>
        <v>0</v>
      </c>
      <c r="B61" s="658">
        <f t="shared" si="19"/>
        <v>0</v>
      </c>
      <c r="C61" s="658">
        <f t="shared" si="17"/>
        <v>0</v>
      </c>
      <c r="D61" s="658">
        <f t="shared" si="17"/>
        <v>0</v>
      </c>
      <c r="E61" s="658">
        <f t="shared" si="17"/>
        <v>0</v>
      </c>
      <c r="F61" s="658">
        <f t="shared" si="17"/>
        <v>0</v>
      </c>
      <c r="G61" s="658">
        <f t="shared" si="17"/>
        <v>0</v>
      </c>
      <c r="H61" s="658">
        <f t="shared" si="17"/>
        <v>0</v>
      </c>
    </row>
    <row r="62" spans="1:8" x14ac:dyDescent="0.2">
      <c r="A62" s="658">
        <f t="shared" si="18"/>
        <v>0</v>
      </c>
      <c r="B62" s="658">
        <f t="shared" si="19"/>
        <v>0</v>
      </c>
      <c r="C62" s="658">
        <f t="shared" ref="C62:H70" si="20">(B62/B$44)*C$44</f>
        <v>0</v>
      </c>
      <c r="D62" s="658">
        <f t="shared" si="20"/>
        <v>0</v>
      </c>
      <c r="E62" s="658">
        <f t="shared" si="20"/>
        <v>0</v>
      </c>
      <c r="F62" s="658">
        <f t="shared" si="20"/>
        <v>0</v>
      </c>
      <c r="G62" s="658">
        <f t="shared" si="20"/>
        <v>0</v>
      </c>
      <c r="H62" s="658">
        <f t="shared" si="20"/>
        <v>0</v>
      </c>
    </row>
    <row r="63" spans="1:8" x14ac:dyDescent="0.2">
      <c r="A63" s="658">
        <f t="shared" ref="A63:A70" si="21">B33</f>
        <v>0</v>
      </c>
      <c r="B63" s="658">
        <f t="shared" ref="B63:B70" si="22">H33*$B$44</f>
        <v>0</v>
      </c>
      <c r="C63" s="658">
        <f t="shared" si="20"/>
        <v>0</v>
      </c>
      <c r="D63" s="658">
        <f t="shared" si="20"/>
        <v>0</v>
      </c>
      <c r="E63" s="658">
        <f t="shared" si="20"/>
        <v>0</v>
      </c>
      <c r="F63" s="658">
        <f t="shared" si="20"/>
        <v>0</v>
      </c>
      <c r="G63" s="658">
        <f t="shared" si="20"/>
        <v>0</v>
      </c>
      <c r="H63" s="658">
        <f t="shared" si="20"/>
        <v>0</v>
      </c>
    </row>
    <row r="64" spans="1:8" x14ac:dyDescent="0.2">
      <c r="A64" s="658">
        <f t="shared" si="21"/>
        <v>0</v>
      </c>
      <c r="B64" s="658">
        <f t="shared" si="22"/>
        <v>0</v>
      </c>
      <c r="C64" s="658">
        <f t="shared" si="20"/>
        <v>0</v>
      </c>
      <c r="D64" s="658">
        <f t="shared" si="20"/>
        <v>0</v>
      </c>
      <c r="E64" s="658">
        <f t="shared" si="20"/>
        <v>0</v>
      </c>
      <c r="F64" s="658">
        <f t="shared" si="20"/>
        <v>0</v>
      </c>
      <c r="G64" s="658">
        <f t="shared" si="20"/>
        <v>0</v>
      </c>
      <c r="H64" s="658">
        <f t="shared" si="20"/>
        <v>0</v>
      </c>
    </row>
    <row r="65" spans="1:26" ht="15.75" customHeight="1" x14ac:dyDescent="0.2">
      <c r="A65" s="658">
        <f t="shared" si="21"/>
        <v>0</v>
      </c>
      <c r="B65" s="658">
        <f t="shared" si="22"/>
        <v>0</v>
      </c>
      <c r="C65" s="658">
        <f t="shared" si="20"/>
        <v>0</v>
      </c>
      <c r="D65" s="658">
        <f t="shared" si="20"/>
        <v>0</v>
      </c>
      <c r="E65" s="658">
        <f t="shared" si="20"/>
        <v>0</v>
      </c>
      <c r="F65" s="658">
        <f t="shared" si="20"/>
        <v>0</v>
      </c>
      <c r="G65" s="658">
        <f t="shared" si="20"/>
        <v>0</v>
      </c>
      <c r="H65" s="658">
        <f t="shared" si="20"/>
        <v>0</v>
      </c>
    </row>
    <row r="66" spans="1:26" ht="15.75" customHeight="1" x14ac:dyDescent="0.2">
      <c r="A66" s="658">
        <f t="shared" si="21"/>
        <v>0</v>
      </c>
      <c r="B66" s="658">
        <f t="shared" si="22"/>
        <v>0</v>
      </c>
      <c r="C66" s="658">
        <f t="shared" si="20"/>
        <v>0</v>
      </c>
      <c r="D66" s="658">
        <f t="shared" si="20"/>
        <v>0</v>
      </c>
      <c r="E66" s="658">
        <f t="shared" si="20"/>
        <v>0</v>
      </c>
      <c r="F66" s="658">
        <f t="shared" si="20"/>
        <v>0</v>
      </c>
      <c r="G66" s="658">
        <f t="shared" si="20"/>
        <v>0</v>
      </c>
      <c r="H66" s="658">
        <f t="shared" si="20"/>
        <v>0</v>
      </c>
    </row>
    <row r="67" spans="1:26" ht="15.75" customHeight="1" x14ac:dyDescent="0.2">
      <c r="A67" s="658" t="str">
        <f t="shared" si="21"/>
        <v>Pomegranate</v>
      </c>
      <c r="B67" s="658">
        <f t="shared" si="22"/>
        <v>0</v>
      </c>
      <c r="C67" s="658">
        <f t="shared" si="20"/>
        <v>0</v>
      </c>
      <c r="D67" s="658">
        <f t="shared" si="20"/>
        <v>0</v>
      </c>
      <c r="E67" s="658">
        <f t="shared" si="20"/>
        <v>0</v>
      </c>
      <c r="F67" s="658">
        <f t="shared" si="20"/>
        <v>0</v>
      </c>
      <c r="G67" s="658">
        <f t="shared" si="20"/>
        <v>0</v>
      </c>
      <c r="H67" s="658">
        <f t="shared" si="20"/>
        <v>0</v>
      </c>
    </row>
    <row r="68" spans="1:26" ht="15.75" customHeight="1" x14ac:dyDescent="0.2">
      <c r="A68" s="658" t="str">
        <f t="shared" si="21"/>
        <v>Custard Apple</v>
      </c>
      <c r="B68" s="658">
        <f t="shared" si="22"/>
        <v>0</v>
      </c>
      <c r="C68" s="658">
        <f t="shared" si="20"/>
        <v>0</v>
      </c>
      <c r="D68" s="658">
        <f t="shared" si="20"/>
        <v>0</v>
      </c>
      <c r="E68" s="658">
        <f t="shared" si="20"/>
        <v>0</v>
      </c>
      <c r="F68" s="658">
        <f t="shared" si="20"/>
        <v>0</v>
      </c>
      <c r="G68" s="658">
        <f t="shared" si="20"/>
        <v>0</v>
      </c>
      <c r="H68" s="658">
        <f t="shared" si="20"/>
        <v>0</v>
      </c>
    </row>
    <row r="69" spans="1:26" ht="15.75" customHeight="1" x14ac:dyDescent="0.2">
      <c r="A69" s="658" t="str">
        <f t="shared" si="21"/>
        <v>Guava</v>
      </c>
      <c r="B69" s="658">
        <f t="shared" si="22"/>
        <v>0</v>
      </c>
      <c r="C69" s="658">
        <f t="shared" si="20"/>
        <v>0</v>
      </c>
      <c r="D69" s="658">
        <f t="shared" si="20"/>
        <v>0</v>
      </c>
      <c r="E69" s="658">
        <f t="shared" si="20"/>
        <v>0</v>
      </c>
      <c r="F69" s="658">
        <f t="shared" si="20"/>
        <v>0</v>
      </c>
      <c r="G69" s="658">
        <f t="shared" si="20"/>
        <v>0</v>
      </c>
      <c r="H69" s="658">
        <f t="shared" si="20"/>
        <v>0</v>
      </c>
    </row>
    <row r="70" spans="1:26" ht="15.75" customHeight="1" x14ac:dyDescent="0.2">
      <c r="A70" s="658" t="str">
        <f t="shared" si="21"/>
        <v>Citrus</v>
      </c>
      <c r="B70" s="658">
        <f t="shared" si="22"/>
        <v>0</v>
      </c>
      <c r="C70" s="658">
        <f t="shared" si="20"/>
        <v>0</v>
      </c>
      <c r="D70" s="658">
        <f t="shared" si="20"/>
        <v>0</v>
      </c>
      <c r="E70" s="658">
        <f t="shared" si="20"/>
        <v>0</v>
      </c>
      <c r="F70" s="658">
        <f t="shared" si="20"/>
        <v>0</v>
      </c>
      <c r="G70" s="658">
        <f t="shared" si="20"/>
        <v>0</v>
      </c>
      <c r="H70" s="658">
        <f t="shared" si="20"/>
        <v>0</v>
      </c>
    </row>
    <row r="71" spans="1:26" ht="15.75" customHeight="1" x14ac:dyDescent="0.2">
      <c r="A71" s="738" t="s">
        <v>525</v>
      </c>
      <c r="B71" s="739"/>
      <c r="C71" s="739"/>
      <c r="D71" s="739"/>
      <c r="E71" s="739"/>
      <c r="F71" s="739"/>
      <c r="G71" s="739"/>
      <c r="H71" s="740"/>
    </row>
    <row r="72" spans="1:26" ht="15.75" customHeight="1" x14ac:dyDescent="0.2">
      <c r="A72" s="741" t="s">
        <v>0</v>
      </c>
      <c r="B72" s="676">
        <v>0.05</v>
      </c>
      <c r="C72" s="676">
        <f t="shared" ref="C72:H72" si="23">B72+0.05</f>
        <v>0.1</v>
      </c>
      <c r="D72" s="676">
        <f t="shared" si="23"/>
        <v>0.15000000000000002</v>
      </c>
      <c r="E72" s="676">
        <f t="shared" si="23"/>
        <v>0.2</v>
      </c>
      <c r="F72" s="676">
        <f t="shared" si="23"/>
        <v>0.25</v>
      </c>
      <c r="G72" s="676">
        <f t="shared" si="23"/>
        <v>0.3</v>
      </c>
      <c r="H72" s="676">
        <f t="shared" si="23"/>
        <v>0.35</v>
      </c>
    </row>
    <row r="73" spans="1:26" ht="15.75" customHeight="1" x14ac:dyDescent="0.2">
      <c r="A73" s="742"/>
      <c r="B73" s="656" t="s">
        <v>2</v>
      </c>
      <c r="C73" s="656" t="s">
        <v>3</v>
      </c>
      <c r="D73" s="656" t="s">
        <v>4</v>
      </c>
      <c r="E73" s="656" t="s">
        <v>5</v>
      </c>
      <c r="F73" s="656" t="s">
        <v>6</v>
      </c>
      <c r="G73" s="656" t="s">
        <v>163</v>
      </c>
      <c r="H73" s="656" t="s">
        <v>162</v>
      </c>
    </row>
    <row r="74" spans="1:26" ht="15.75" customHeight="1" x14ac:dyDescent="0.2">
      <c r="A74" s="658" t="str">
        <f t="shared" ref="A74:A98" si="24">A46</f>
        <v>Onion</v>
      </c>
      <c r="B74" s="658">
        <f t="shared" ref="B74:H74" si="25">H14*$B$72</f>
        <v>0</v>
      </c>
      <c r="C74" s="658">
        <f t="shared" si="25"/>
        <v>0</v>
      </c>
      <c r="D74" s="658">
        <f t="shared" si="25"/>
        <v>0</v>
      </c>
      <c r="E74" s="658">
        <f t="shared" si="25"/>
        <v>0</v>
      </c>
      <c r="F74" s="658">
        <f t="shared" si="25"/>
        <v>0</v>
      </c>
      <c r="G74" s="658">
        <f t="shared" si="25"/>
        <v>0</v>
      </c>
      <c r="H74" s="658">
        <f t="shared" si="25"/>
        <v>0</v>
      </c>
      <c r="I74" s="7"/>
      <c r="J74" s="7"/>
      <c r="K74" s="7"/>
      <c r="L74" s="7"/>
      <c r="M74" s="7"/>
      <c r="N74" s="7"/>
      <c r="O74" s="7"/>
      <c r="P74" s="7"/>
      <c r="Q74" s="7"/>
      <c r="R74" s="7"/>
      <c r="S74" s="7"/>
      <c r="T74" s="7"/>
      <c r="U74" s="7"/>
      <c r="V74" s="7"/>
      <c r="W74" s="7"/>
      <c r="X74" s="7"/>
      <c r="Y74" s="7"/>
      <c r="Z74" s="7"/>
    </row>
    <row r="75" spans="1:26" ht="15.75" customHeight="1" x14ac:dyDescent="0.2">
      <c r="A75" s="658" t="str">
        <f t="shared" si="24"/>
        <v>Tomato</v>
      </c>
      <c r="B75" s="658">
        <f>H15*$B$72*0</f>
        <v>0</v>
      </c>
      <c r="C75" s="658">
        <f t="shared" ref="C75:H75" si="26">(B75/B72)*C72</f>
        <v>0</v>
      </c>
      <c r="D75" s="658">
        <f t="shared" si="26"/>
        <v>0</v>
      </c>
      <c r="E75" s="658">
        <f t="shared" si="26"/>
        <v>0</v>
      </c>
      <c r="F75" s="658">
        <f t="shared" si="26"/>
        <v>0</v>
      </c>
      <c r="G75" s="658">
        <f t="shared" si="26"/>
        <v>0</v>
      </c>
      <c r="H75" s="658">
        <f t="shared" si="26"/>
        <v>0</v>
      </c>
    </row>
    <row r="76" spans="1:26" ht="15.75" customHeight="1" x14ac:dyDescent="0.2">
      <c r="A76" s="658" t="str">
        <f t="shared" si="24"/>
        <v>Okra</v>
      </c>
      <c r="B76" s="658">
        <f>H16*$B$72</f>
        <v>0</v>
      </c>
      <c r="C76" s="658">
        <f t="shared" ref="C76:H76" si="27">(B76/B72)*C72</f>
        <v>0</v>
      </c>
      <c r="D76" s="658">
        <f t="shared" si="27"/>
        <v>0</v>
      </c>
      <c r="E76" s="658">
        <f t="shared" si="27"/>
        <v>0</v>
      </c>
      <c r="F76" s="658">
        <f t="shared" si="27"/>
        <v>0</v>
      </c>
      <c r="G76" s="658">
        <f t="shared" si="27"/>
        <v>0</v>
      </c>
      <c r="H76" s="658">
        <f t="shared" si="27"/>
        <v>0</v>
      </c>
    </row>
    <row r="77" spans="1:26" ht="15.75" customHeight="1" x14ac:dyDescent="0.2">
      <c r="A77" s="658" t="str">
        <f t="shared" si="24"/>
        <v>Chilli</v>
      </c>
      <c r="B77" s="658">
        <f>H17*$B$72*0</f>
        <v>0</v>
      </c>
      <c r="C77" s="658">
        <f t="shared" ref="C77:H92" si="28">(B77/B$72)*C$72</f>
        <v>0</v>
      </c>
      <c r="D77" s="658">
        <f t="shared" si="28"/>
        <v>0</v>
      </c>
      <c r="E77" s="658">
        <f t="shared" si="28"/>
        <v>0</v>
      </c>
      <c r="F77" s="658">
        <f t="shared" si="28"/>
        <v>0</v>
      </c>
      <c r="G77" s="658">
        <f t="shared" si="28"/>
        <v>0</v>
      </c>
      <c r="H77" s="658">
        <f t="shared" si="28"/>
        <v>0</v>
      </c>
    </row>
    <row r="78" spans="1:26" ht="15.75" customHeight="1" x14ac:dyDescent="0.2">
      <c r="A78" s="658" t="str">
        <f t="shared" si="24"/>
        <v>Potato</v>
      </c>
      <c r="B78" s="658">
        <f>H18*$B$72</f>
        <v>0</v>
      </c>
      <c r="C78" s="658">
        <f t="shared" si="28"/>
        <v>0</v>
      </c>
      <c r="D78" s="658">
        <f t="shared" si="28"/>
        <v>0</v>
      </c>
      <c r="E78" s="658">
        <f t="shared" si="28"/>
        <v>0</v>
      </c>
      <c r="F78" s="658">
        <f t="shared" si="28"/>
        <v>0</v>
      </c>
      <c r="G78" s="658">
        <f t="shared" si="28"/>
        <v>0</v>
      </c>
      <c r="H78" s="658">
        <f t="shared" si="28"/>
        <v>0</v>
      </c>
    </row>
    <row r="79" spans="1:26" ht="15.75" customHeight="1" x14ac:dyDescent="0.2">
      <c r="A79" s="658">
        <f t="shared" si="24"/>
        <v>0</v>
      </c>
      <c r="B79" s="658">
        <f t="shared" ref="B79:B80" si="29">H19*$B$72*0</f>
        <v>0</v>
      </c>
      <c r="C79" s="658">
        <f t="shared" si="28"/>
        <v>0</v>
      </c>
      <c r="D79" s="658">
        <f t="shared" si="28"/>
        <v>0</v>
      </c>
      <c r="E79" s="658">
        <f t="shared" si="28"/>
        <v>0</v>
      </c>
      <c r="F79" s="658">
        <f t="shared" si="28"/>
        <v>0</v>
      </c>
      <c r="G79" s="658">
        <f t="shared" si="28"/>
        <v>0</v>
      </c>
      <c r="H79" s="658">
        <f t="shared" si="28"/>
        <v>0</v>
      </c>
    </row>
    <row r="80" spans="1:26" ht="15.75" customHeight="1" x14ac:dyDescent="0.2">
      <c r="A80" s="658">
        <f t="shared" si="24"/>
        <v>0</v>
      </c>
      <c r="B80" s="658">
        <f t="shared" si="29"/>
        <v>0</v>
      </c>
      <c r="C80" s="658">
        <f t="shared" si="28"/>
        <v>0</v>
      </c>
      <c r="D80" s="658">
        <f t="shared" si="28"/>
        <v>0</v>
      </c>
      <c r="E80" s="658">
        <f t="shared" si="28"/>
        <v>0</v>
      </c>
      <c r="F80" s="658">
        <f t="shared" si="28"/>
        <v>0</v>
      </c>
      <c r="G80" s="658">
        <f t="shared" si="28"/>
        <v>0</v>
      </c>
      <c r="H80" s="658">
        <f t="shared" si="28"/>
        <v>0</v>
      </c>
    </row>
    <row r="81" spans="1:8" x14ac:dyDescent="0.2">
      <c r="A81" s="658">
        <f t="shared" si="24"/>
        <v>0</v>
      </c>
      <c r="B81" s="658">
        <f t="shared" ref="B81:B82" si="30">H21*$B$72</f>
        <v>0</v>
      </c>
      <c r="C81" s="658">
        <f t="shared" si="28"/>
        <v>0</v>
      </c>
      <c r="D81" s="658">
        <f t="shared" si="28"/>
        <v>0</v>
      </c>
      <c r="E81" s="658">
        <f t="shared" si="28"/>
        <v>0</v>
      </c>
      <c r="F81" s="658">
        <f t="shared" si="28"/>
        <v>0</v>
      </c>
      <c r="G81" s="658">
        <f t="shared" si="28"/>
        <v>0</v>
      </c>
      <c r="H81" s="658">
        <f t="shared" si="28"/>
        <v>0</v>
      </c>
    </row>
    <row r="82" spans="1:8" x14ac:dyDescent="0.2">
      <c r="A82" s="658">
        <f t="shared" si="24"/>
        <v>0</v>
      </c>
      <c r="B82" s="658">
        <f t="shared" si="30"/>
        <v>0</v>
      </c>
      <c r="C82" s="658">
        <f t="shared" si="28"/>
        <v>0</v>
      </c>
      <c r="D82" s="658">
        <f t="shared" si="28"/>
        <v>0</v>
      </c>
      <c r="E82" s="658">
        <f t="shared" si="28"/>
        <v>0</v>
      </c>
      <c r="F82" s="658">
        <f t="shared" si="28"/>
        <v>0</v>
      </c>
      <c r="G82" s="658">
        <f t="shared" si="28"/>
        <v>0</v>
      </c>
      <c r="H82" s="658">
        <f t="shared" si="28"/>
        <v>0</v>
      </c>
    </row>
    <row r="83" spans="1:8" x14ac:dyDescent="0.2">
      <c r="A83" s="658" t="str">
        <f t="shared" si="24"/>
        <v>Onion</v>
      </c>
      <c r="B83" s="658">
        <f t="shared" ref="B83:B90" si="31">H24*$B$72</f>
        <v>0</v>
      </c>
      <c r="C83" s="658">
        <f t="shared" si="28"/>
        <v>0</v>
      </c>
      <c r="D83" s="658">
        <f t="shared" si="28"/>
        <v>0</v>
      </c>
      <c r="E83" s="658">
        <f t="shared" si="28"/>
        <v>0</v>
      </c>
      <c r="F83" s="658">
        <f t="shared" si="28"/>
        <v>0</v>
      </c>
      <c r="G83" s="658">
        <f t="shared" si="28"/>
        <v>0</v>
      </c>
      <c r="H83" s="658">
        <f t="shared" si="28"/>
        <v>0</v>
      </c>
    </row>
    <row r="84" spans="1:8" x14ac:dyDescent="0.2">
      <c r="A84" s="658" t="str">
        <f t="shared" si="24"/>
        <v>Tomato</v>
      </c>
      <c r="B84" s="658">
        <f t="shared" si="31"/>
        <v>0</v>
      </c>
      <c r="C84" s="658">
        <f t="shared" si="28"/>
        <v>0</v>
      </c>
      <c r="D84" s="658">
        <f t="shared" si="28"/>
        <v>0</v>
      </c>
      <c r="E84" s="658">
        <f t="shared" si="28"/>
        <v>0</v>
      </c>
      <c r="F84" s="658">
        <f t="shared" si="28"/>
        <v>0</v>
      </c>
      <c r="G84" s="658">
        <f t="shared" si="28"/>
        <v>0</v>
      </c>
      <c r="H84" s="658">
        <f t="shared" si="28"/>
        <v>0</v>
      </c>
    </row>
    <row r="85" spans="1:8" x14ac:dyDescent="0.2">
      <c r="A85" s="658" t="str">
        <f t="shared" si="24"/>
        <v>Okra</v>
      </c>
      <c r="B85" s="658">
        <f t="shared" si="31"/>
        <v>0</v>
      </c>
      <c r="C85" s="658">
        <f t="shared" si="28"/>
        <v>0</v>
      </c>
      <c r="D85" s="658">
        <f t="shared" si="28"/>
        <v>0</v>
      </c>
      <c r="E85" s="658">
        <f t="shared" si="28"/>
        <v>0</v>
      </c>
      <c r="F85" s="658">
        <f t="shared" si="28"/>
        <v>0</v>
      </c>
      <c r="G85" s="658">
        <f t="shared" si="28"/>
        <v>0</v>
      </c>
      <c r="H85" s="658">
        <f t="shared" si="28"/>
        <v>0</v>
      </c>
    </row>
    <row r="86" spans="1:8" x14ac:dyDescent="0.2">
      <c r="A86" s="658" t="str">
        <f t="shared" si="24"/>
        <v>Chilli</v>
      </c>
      <c r="B86" s="658">
        <f t="shared" si="31"/>
        <v>0</v>
      </c>
      <c r="C86" s="658">
        <f t="shared" si="28"/>
        <v>0</v>
      </c>
      <c r="D86" s="658">
        <f t="shared" si="28"/>
        <v>0</v>
      </c>
      <c r="E86" s="658">
        <f t="shared" si="28"/>
        <v>0</v>
      </c>
      <c r="F86" s="658">
        <f t="shared" si="28"/>
        <v>0</v>
      </c>
      <c r="G86" s="658">
        <f t="shared" si="28"/>
        <v>0</v>
      </c>
      <c r="H86" s="658">
        <f t="shared" si="28"/>
        <v>0</v>
      </c>
    </row>
    <row r="87" spans="1:8" x14ac:dyDescent="0.2">
      <c r="A87" s="658" t="str">
        <f t="shared" si="24"/>
        <v>Brinjal</v>
      </c>
      <c r="B87" s="658">
        <f t="shared" si="31"/>
        <v>0</v>
      </c>
      <c r="C87" s="658">
        <f t="shared" si="28"/>
        <v>0</v>
      </c>
      <c r="D87" s="658">
        <f t="shared" si="28"/>
        <v>0</v>
      </c>
      <c r="E87" s="658">
        <f t="shared" si="28"/>
        <v>0</v>
      </c>
      <c r="F87" s="658">
        <f t="shared" si="28"/>
        <v>0</v>
      </c>
      <c r="G87" s="658">
        <f t="shared" si="28"/>
        <v>0</v>
      </c>
      <c r="H87" s="658">
        <f t="shared" si="28"/>
        <v>0</v>
      </c>
    </row>
    <row r="88" spans="1:8" x14ac:dyDescent="0.2">
      <c r="A88" s="658">
        <f t="shared" si="24"/>
        <v>0</v>
      </c>
      <c r="B88" s="658">
        <f t="shared" si="31"/>
        <v>0</v>
      </c>
      <c r="C88" s="658">
        <f t="shared" si="28"/>
        <v>0</v>
      </c>
      <c r="D88" s="658">
        <f t="shared" si="28"/>
        <v>0</v>
      </c>
      <c r="E88" s="658">
        <f t="shared" si="28"/>
        <v>0</v>
      </c>
      <c r="F88" s="658">
        <f t="shared" si="28"/>
        <v>0</v>
      </c>
      <c r="G88" s="658">
        <f t="shared" si="28"/>
        <v>0</v>
      </c>
      <c r="H88" s="658">
        <f t="shared" si="28"/>
        <v>0</v>
      </c>
    </row>
    <row r="89" spans="1:8" x14ac:dyDescent="0.2">
      <c r="A89" s="658">
        <f t="shared" si="24"/>
        <v>0</v>
      </c>
      <c r="B89" s="658">
        <f t="shared" si="31"/>
        <v>0</v>
      </c>
      <c r="C89" s="658">
        <f t="shared" si="28"/>
        <v>0</v>
      </c>
      <c r="D89" s="658">
        <f t="shared" si="28"/>
        <v>0</v>
      </c>
      <c r="E89" s="658">
        <f t="shared" si="28"/>
        <v>0</v>
      </c>
      <c r="F89" s="658">
        <f t="shared" si="28"/>
        <v>0</v>
      </c>
      <c r="G89" s="658">
        <f t="shared" si="28"/>
        <v>0</v>
      </c>
      <c r="H89" s="658">
        <f t="shared" si="28"/>
        <v>0</v>
      </c>
    </row>
    <row r="90" spans="1:8" x14ac:dyDescent="0.2">
      <c r="A90" s="658">
        <f t="shared" si="24"/>
        <v>0</v>
      </c>
      <c r="B90" s="658">
        <f t="shared" si="31"/>
        <v>0</v>
      </c>
      <c r="C90" s="658">
        <f t="shared" si="28"/>
        <v>0</v>
      </c>
      <c r="D90" s="658">
        <f t="shared" si="28"/>
        <v>0</v>
      </c>
      <c r="E90" s="658">
        <f t="shared" si="28"/>
        <v>0</v>
      </c>
      <c r="F90" s="658">
        <f t="shared" si="28"/>
        <v>0</v>
      </c>
      <c r="G90" s="658">
        <f t="shared" si="28"/>
        <v>0</v>
      </c>
      <c r="H90" s="658">
        <f t="shared" si="28"/>
        <v>0</v>
      </c>
    </row>
    <row r="91" spans="1:8" x14ac:dyDescent="0.2">
      <c r="A91" s="658">
        <f t="shared" si="24"/>
        <v>0</v>
      </c>
      <c r="B91" s="658">
        <f t="shared" ref="B91:B98" si="32">H33*$B$72</f>
        <v>0</v>
      </c>
      <c r="C91" s="658">
        <f t="shared" si="28"/>
        <v>0</v>
      </c>
      <c r="D91" s="658">
        <f t="shared" si="28"/>
        <v>0</v>
      </c>
      <c r="E91" s="658">
        <f t="shared" si="28"/>
        <v>0</v>
      </c>
      <c r="F91" s="658">
        <f t="shared" si="28"/>
        <v>0</v>
      </c>
      <c r="G91" s="658">
        <f t="shared" si="28"/>
        <v>0</v>
      </c>
      <c r="H91" s="658">
        <f t="shared" si="28"/>
        <v>0</v>
      </c>
    </row>
    <row r="92" spans="1:8" x14ac:dyDescent="0.2">
      <c r="A92" s="658">
        <f t="shared" si="24"/>
        <v>0</v>
      </c>
      <c r="B92" s="658">
        <f t="shared" si="32"/>
        <v>0</v>
      </c>
      <c r="C92" s="658">
        <f t="shared" si="28"/>
        <v>0</v>
      </c>
      <c r="D92" s="658">
        <f t="shared" si="28"/>
        <v>0</v>
      </c>
      <c r="E92" s="658">
        <f t="shared" si="28"/>
        <v>0</v>
      </c>
      <c r="F92" s="658">
        <f t="shared" si="28"/>
        <v>0</v>
      </c>
      <c r="G92" s="658">
        <f t="shared" si="28"/>
        <v>0</v>
      </c>
      <c r="H92" s="658"/>
    </row>
    <row r="93" spans="1:8" x14ac:dyDescent="0.2">
      <c r="A93" s="658">
        <f t="shared" si="24"/>
        <v>0</v>
      </c>
      <c r="B93" s="658">
        <f t="shared" si="32"/>
        <v>0</v>
      </c>
      <c r="C93" s="658">
        <f t="shared" ref="C93:H98" si="33">(B93/B$72)*C$72</f>
        <v>0</v>
      </c>
      <c r="D93" s="658">
        <f t="shared" si="33"/>
        <v>0</v>
      </c>
      <c r="E93" s="658">
        <f t="shared" si="33"/>
        <v>0</v>
      </c>
      <c r="F93" s="658">
        <f t="shared" si="33"/>
        <v>0</v>
      </c>
      <c r="G93" s="658">
        <f t="shared" si="33"/>
        <v>0</v>
      </c>
      <c r="H93" s="658"/>
    </row>
    <row r="94" spans="1:8" x14ac:dyDescent="0.2">
      <c r="A94" s="658">
        <f t="shared" si="24"/>
        <v>0</v>
      </c>
      <c r="B94" s="658">
        <f t="shared" si="32"/>
        <v>0</v>
      </c>
      <c r="C94" s="658">
        <f t="shared" si="33"/>
        <v>0</v>
      </c>
      <c r="D94" s="658">
        <f t="shared" si="33"/>
        <v>0</v>
      </c>
      <c r="E94" s="658">
        <f t="shared" si="33"/>
        <v>0</v>
      </c>
      <c r="F94" s="658">
        <f t="shared" si="33"/>
        <v>0</v>
      </c>
      <c r="G94" s="658">
        <f t="shared" si="33"/>
        <v>0</v>
      </c>
      <c r="H94" s="658"/>
    </row>
    <row r="95" spans="1:8" x14ac:dyDescent="0.2">
      <c r="A95" s="658" t="str">
        <f t="shared" si="24"/>
        <v>Pomegranate</v>
      </c>
      <c r="B95" s="658">
        <f t="shared" si="32"/>
        <v>0</v>
      </c>
      <c r="C95" s="658">
        <f t="shared" si="33"/>
        <v>0</v>
      </c>
      <c r="D95" s="658">
        <f t="shared" si="33"/>
        <v>0</v>
      </c>
      <c r="E95" s="658">
        <f t="shared" si="33"/>
        <v>0</v>
      </c>
      <c r="F95" s="658">
        <f t="shared" si="33"/>
        <v>0</v>
      </c>
      <c r="G95" s="658">
        <f t="shared" si="33"/>
        <v>0</v>
      </c>
      <c r="H95" s="658">
        <f t="shared" si="33"/>
        <v>0</v>
      </c>
    </row>
    <row r="96" spans="1:8" x14ac:dyDescent="0.2">
      <c r="A96" s="658" t="str">
        <f t="shared" si="24"/>
        <v>Custard Apple</v>
      </c>
      <c r="B96" s="658">
        <f t="shared" si="32"/>
        <v>0</v>
      </c>
      <c r="C96" s="658">
        <f t="shared" si="33"/>
        <v>0</v>
      </c>
      <c r="D96" s="658">
        <f t="shared" si="33"/>
        <v>0</v>
      </c>
      <c r="E96" s="658">
        <f t="shared" si="33"/>
        <v>0</v>
      </c>
      <c r="F96" s="658">
        <f t="shared" si="33"/>
        <v>0</v>
      </c>
      <c r="G96" s="658">
        <f t="shared" si="33"/>
        <v>0</v>
      </c>
      <c r="H96" s="658">
        <f t="shared" si="33"/>
        <v>0</v>
      </c>
    </row>
    <row r="97" spans="1:26" ht="15.75" customHeight="1" x14ac:dyDescent="0.2">
      <c r="A97" s="658" t="str">
        <f t="shared" si="24"/>
        <v>Guava</v>
      </c>
      <c r="B97" s="658">
        <f t="shared" si="32"/>
        <v>0</v>
      </c>
      <c r="C97" s="658">
        <f t="shared" si="33"/>
        <v>0</v>
      </c>
      <c r="D97" s="658">
        <f t="shared" si="33"/>
        <v>0</v>
      </c>
      <c r="E97" s="658">
        <f t="shared" si="33"/>
        <v>0</v>
      </c>
      <c r="F97" s="658">
        <f t="shared" si="33"/>
        <v>0</v>
      </c>
      <c r="G97" s="658">
        <f t="shared" si="33"/>
        <v>0</v>
      </c>
      <c r="H97" s="658">
        <f t="shared" si="33"/>
        <v>0</v>
      </c>
    </row>
    <row r="98" spans="1:26" ht="15.75" customHeight="1" x14ac:dyDescent="0.2">
      <c r="A98" s="658" t="str">
        <f t="shared" si="24"/>
        <v>Citrus</v>
      </c>
      <c r="B98" s="658">
        <f t="shared" si="32"/>
        <v>0</v>
      </c>
      <c r="C98" s="658">
        <f t="shared" si="33"/>
        <v>0</v>
      </c>
      <c r="D98" s="658">
        <f t="shared" si="33"/>
        <v>0</v>
      </c>
      <c r="E98" s="658">
        <f t="shared" si="33"/>
        <v>0</v>
      </c>
      <c r="F98" s="658">
        <f t="shared" si="33"/>
        <v>0</v>
      </c>
      <c r="G98" s="658">
        <f t="shared" si="33"/>
        <v>0</v>
      </c>
      <c r="H98" s="658">
        <f t="shared" si="33"/>
        <v>0</v>
      </c>
      <c r="I98" s="7"/>
    </row>
    <row r="99" spans="1:26" ht="15.75" customHeight="1" x14ac:dyDescent="0.2">
      <c r="A99" s="738" t="s">
        <v>526</v>
      </c>
      <c r="B99" s="739"/>
      <c r="C99" s="739"/>
      <c r="D99" s="739"/>
      <c r="E99" s="739"/>
      <c r="F99" s="739"/>
      <c r="G99" s="739"/>
      <c r="H99" s="740"/>
    </row>
    <row r="100" spans="1:26" ht="15.75" customHeight="1" x14ac:dyDescent="0.2">
      <c r="A100" s="743" t="s">
        <v>0</v>
      </c>
      <c r="B100" s="677">
        <v>0.65</v>
      </c>
      <c r="C100" s="678">
        <f t="shared" ref="C100:H100" si="34">B100+0.05</f>
        <v>0.70000000000000007</v>
      </c>
      <c r="D100" s="678">
        <f t="shared" si="34"/>
        <v>0.75000000000000011</v>
      </c>
      <c r="E100" s="678">
        <f t="shared" si="34"/>
        <v>0.80000000000000016</v>
      </c>
      <c r="F100" s="678">
        <f t="shared" si="34"/>
        <v>0.8500000000000002</v>
      </c>
      <c r="G100" s="678">
        <f t="shared" si="34"/>
        <v>0.90000000000000024</v>
      </c>
      <c r="H100" s="678">
        <f t="shared" si="34"/>
        <v>0.95000000000000029</v>
      </c>
    </row>
    <row r="101" spans="1:26" ht="15.75" customHeight="1" x14ac:dyDescent="0.2">
      <c r="A101" s="742"/>
      <c r="B101" s="656" t="s">
        <v>2</v>
      </c>
      <c r="C101" s="656" t="s">
        <v>3</v>
      </c>
      <c r="D101" s="656" t="s">
        <v>4</v>
      </c>
      <c r="E101" s="656" t="s">
        <v>5</v>
      </c>
      <c r="F101" s="656" t="s">
        <v>6</v>
      </c>
      <c r="G101" s="656" t="s">
        <v>163</v>
      </c>
      <c r="H101" s="656" t="s">
        <v>162</v>
      </c>
    </row>
    <row r="102" spans="1:26" ht="15.75" customHeight="1" x14ac:dyDescent="0.2">
      <c r="A102" s="658" t="str">
        <f t="shared" ref="A102:A126" si="35">A74</f>
        <v>Onion</v>
      </c>
      <c r="B102" s="658">
        <f t="shared" ref="B102:B110" si="36">D14*$B$100</f>
        <v>0</v>
      </c>
      <c r="C102" s="658">
        <f t="shared" ref="C102:H117" si="37">(B102/B$100)*C$100</f>
        <v>0</v>
      </c>
      <c r="D102" s="658">
        <f t="shared" si="37"/>
        <v>0</v>
      </c>
      <c r="E102" s="658">
        <f t="shared" si="37"/>
        <v>0</v>
      </c>
      <c r="F102" s="658">
        <f t="shared" si="37"/>
        <v>0</v>
      </c>
      <c r="G102" s="658">
        <f t="shared" si="37"/>
        <v>0</v>
      </c>
      <c r="H102" s="658">
        <f t="shared" si="37"/>
        <v>0</v>
      </c>
      <c r="I102" s="7"/>
      <c r="J102" s="7"/>
      <c r="K102" s="7"/>
      <c r="L102" s="7"/>
      <c r="M102" s="7"/>
      <c r="N102" s="7"/>
      <c r="O102" s="7"/>
      <c r="P102" s="7"/>
      <c r="Q102" s="7"/>
      <c r="R102" s="7"/>
      <c r="S102" s="7"/>
      <c r="T102" s="7"/>
      <c r="U102" s="7"/>
      <c r="V102" s="7"/>
      <c r="W102" s="7"/>
      <c r="X102" s="7"/>
      <c r="Y102" s="7"/>
      <c r="Z102" s="7"/>
    </row>
    <row r="103" spans="1:26" ht="15.75" customHeight="1" x14ac:dyDescent="0.2">
      <c r="A103" s="658" t="str">
        <f t="shared" si="35"/>
        <v>Tomato</v>
      </c>
      <c r="B103" s="658">
        <f t="shared" si="36"/>
        <v>0</v>
      </c>
      <c r="C103" s="658">
        <f t="shared" si="37"/>
        <v>0</v>
      </c>
      <c r="D103" s="658">
        <f t="shared" ref="D103:H103" si="38">(C103/C100)*D100</f>
        <v>0</v>
      </c>
      <c r="E103" s="658">
        <f t="shared" si="38"/>
        <v>0</v>
      </c>
      <c r="F103" s="658">
        <f t="shared" si="38"/>
        <v>0</v>
      </c>
      <c r="G103" s="658">
        <f t="shared" si="38"/>
        <v>0</v>
      </c>
      <c r="H103" s="658">
        <f t="shared" si="38"/>
        <v>0</v>
      </c>
    </row>
    <row r="104" spans="1:26" ht="15.75" customHeight="1" x14ac:dyDescent="0.2">
      <c r="A104" s="658" t="str">
        <f t="shared" si="35"/>
        <v>Okra</v>
      </c>
      <c r="B104" s="658">
        <f t="shared" si="36"/>
        <v>0</v>
      </c>
      <c r="C104" s="658">
        <f t="shared" si="37"/>
        <v>0</v>
      </c>
      <c r="D104" s="658">
        <f t="shared" si="37"/>
        <v>0</v>
      </c>
      <c r="E104" s="658">
        <f t="shared" si="37"/>
        <v>0</v>
      </c>
      <c r="F104" s="658">
        <f t="shared" si="37"/>
        <v>0</v>
      </c>
      <c r="G104" s="658">
        <f t="shared" si="37"/>
        <v>0</v>
      </c>
      <c r="H104" s="658">
        <f t="shared" si="37"/>
        <v>0</v>
      </c>
    </row>
    <row r="105" spans="1:26" ht="15.75" customHeight="1" x14ac:dyDescent="0.2">
      <c r="A105" s="658" t="str">
        <f t="shared" si="35"/>
        <v>Chilli</v>
      </c>
      <c r="B105" s="658">
        <f t="shared" si="36"/>
        <v>0</v>
      </c>
      <c r="C105" s="658">
        <f t="shared" si="37"/>
        <v>0</v>
      </c>
      <c r="D105" s="658">
        <f t="shared" si="37"/>
        <v>0</v>
      </c>
      <c r="E105" s="658">
        <f t="shared" si="37"/>
        <v>0</v>
      </c>
      <c r="F105" s="658">
        <f t="shared" si="37"/>
        <v>0</v>
      </c>
      <c r="G105" s="658">
        <f t="shared" si="37"/>
        <v>0</v>
      </c>
      <c r="H105" s="658">
        <f t="shared" si="37"/>
        <v>0</v>
      </c>
    </row>
    <row r="106" spans="1:26" ht="15.75" customHeight="1" x14ac:dyDescent="0.2">
      <c r="A106" s="658" t="str">
        <f t="shared" si="35"/>
        <v>Potato</v>
      </c>
      <c r="B106" s="658">
        <f t="shared" si="36"/>
        <v>0</v>
      </c>
      <c r="C106" s="658">
        <f t="shared" si="37"/>
        <v>0</v>
      </c>
      <c r="D106" s="658">
        <f t="shared" si="37"/>
        <v>0</v>
      </c>
      <c r="E106" s="658">
        <f t="shared" si="37"/>
        <v>0</v>
      </c>
      <c r="F106" s="658">
        <f t="shared" si="37"/>
        <v>0</v>
      </c>
      <c r="G106" s="658">
        <f t="shared" si="37"/>
        <v>0</v>
      </c>
      <c r="H106" s="658">
        <f t="shared" si="37"/>
        <v>0</v>
      </c>
    </row>
    <row r="107" spans="1:26" ht="15.75" customHeight="1" x14ac:dyDescent="0.2">
      <c r="A107" s="658">
        <f t="shared" si="35"/>
        <v>0</v>
      </c>
      <c r="B107" s="658">
        <f t="shared" si="36"/>
        <v>0</v>
      </c>
      <c r="C107" s="658">
        <f t="shared" si="37"/>
        <v>0</v>
      </c>
      <c r="D107" s="658">
        <f t="shared" si="37"/>
        <v>0</v>
      </c>
      <c r="E107" s="658">
        <f t="shared" si="37"/>
        <v>0</v>
      </c>
      <c r="F107" s="658">
        <f t="shared" si="37"/>
        <v>0</v>
      </c>
      <c r="G107" s="658">
        <f t="shared" si="37"/>
        <v>0</v>
      </c>
      <c r="H107" s="658">
        <f t="shared" si="37"/>
        <v>0</v>
      </c>
    </row>
    <row r="108" spans="1:26" ht="15.75" customHeight="1" x14ac:dyDescent="0.2">
      <c r="A108" s="658">
        <f t="shared" si="35"/>
        <v>0</v>
      </c>
      <c r="B108" s="658">
        <f t="shared" si="36"/>
        <v>0</v>
      </c>
      <c r="C108" s="658">
        <f t="shared" si="37"/>
        <v>0</v>
      </c>
      <c r="D108" s="658">
        <f t="shared" si="37"/>
        <v>0</v>
      </c>
      <c r="E108" s="658">
        <f t="shared" si="37"/>
        <v>0</v>
      </c>
      <c r="F108" s="658">
        <f t="shared" si="37"/>
        <v>0</v>
      </c>
      <c r="G108" s="658">
        <f t="shared" si="37"/>
        <v>0</v>
      </c>
      <c r="H108" s="658">
        <f t="shared" si="37"/>
        <v>0</v>
      </c>
    </row>
    <row r="109" spans="1:26" ht="15.75" customHeight="1" x14ac:dyDescent="0.2">
      <c r="A109" s="658">
        <f t="shared" si="35"/>
        <v>0</v>
      </c>
      <c r="B109" s="658">
        <f t="shared" si="36"/>
        <v>0</v>
      </c>
      <c r="C109" s="658">
        <f t="shared" si="37"/>
        <v>0</v>
      </c>
      <c r="D109" s="658">
        <f t="shared" si="37"/>
        <v>0</v>
      </c>
      <c r="E109" s="658">
        <f t="shared" si="37"/>
        <v>0</v>
      </c>
      <c r="F109" s="658">
        <f t="shared" si="37"/>
        <v>0</v>
      </c>
      <c r="G109" s="658">
        <f t="shared" si="37"/>
        <v>0</v>
      </c>
      <c r="H109" s="658">
        <f t="shared" si="37"/>
        <v>0</v>
      </c>
    </row>
    <row r="110" spans="1:26" ht="15.75" customHeight="1" x14ac:dyDescent="0.2">
      <c r="A110" s="658">
        <f t="shared" si="35"/>
        <v>0</v>
      </c>
      <c r="B110" s="658">
        <f t="shared" si="36"/>
        <v>0</v>
      </c>
      <c r="C110" s="658">
        <f t="shared" si="37"/>
        <v>0</v>
      </c>
      <c r="D110" s="658">
        <f t="shared" si="37"/>
        <v>0</v>
      </c>
      <c r="E110" s="658">
        <f t="shared" si="37"/>
        <v>0</v>
      </c>
      <c r="F110" s="658">
        <f t="shared" si="37"/>
        <v>0</v>
      </c>
      <c r="G110" s="658">
        <f t="shared" si="37"/>
        <v>0</v>
      </c>
      <c r="H110" s="658">
        <f t="shared" si="37"/>
        <v>0</v>
      </c>
    </row>
    <row r="111" spans="1:26" ht="15.75" customHeight="1" x14ac:dyDescent="0.2">
      <c r="A111" s="658" t="str">
        <f t="shared" si="35"/>
        <v>Onion</v>
      </c>
      <c r="B111" s="658">
        <f t="shared" ref="B111:B118" si="39">D24*$B$100</f>
        <v>0</v>
      </c>
      <c r="C111" s="658">
        <f t="shared" si="37"/>
        <v>0</v>
      </c>
      <c r="D111" s="658">
        <f t="shared" si="37"/>
        <v>0</v>
      </c>
      <c r="E111" s="658">
        <f t="shared" si="37"/>
        <v>0</v>
      </c>
      <c r="F111" s="658">
        <f t="shared" si="37"/>
        <v>0</v>
      </c>
      <c r="G111" s="658">
        <f t="shared" si="37"/>
        <v>0</v>
      </c>
      <c r="H111" s="658">
        <f t="shared" si="37"/>
        <v>0</v>
      </c>
    </row>
    <row r="112" spans="1:26" ht="15.75" customHeight="1" x14ac:dyDescent="0.2">
      <c r="A112" s="658" t="str">
        <f t="shared" si="35"/>
        <v>Tomato</v>
      </c>
      <c r="B112" s="658">
        <f t="shared" si="39"/>
        <v>0</v>
      </c>
      <c r="C112" s="658">
        <f t="shared" si="37"/>
        <v>0</v>
      </c>
      <c r="D112" s="658">
        <f t="shared" si="37"/>
        <v>0</v>
      </c>
      <c r="E112" s="658">
        <f t="shared" si="37"/>
        <v>0</v>
      </c>
      <c r="F112" s="658">
        <f t="shared" si="37"/>
        <v>0</v>
      </c>
      <c r="G112" s="658">
        <f t="shared" si="37"/>
        <v>0</v>
      </c>
      <c r="H112" s="658">
        <f t="shared" si="37"/>
        <v>0</v>
      </c>
    </row>
    <row r="113" spans="1:9" x14ac:dyDescent="0.2">
      <c r="A113" s="658" t="str">
        <f t="shared" si="35"/>
        <v>Okra</v>
      </c>
      <c r="B113" s="658">
        <f t="shared" si="39"/>
        <v>0</v>
      </c>
      <c r="C113" s="658">
        <f t="shared" si="37"/>
        <v>0</v>
      </c>
      <c r="D113" s="658">
        <f t="shared" si="37"/>
        <v>0</v>
      </c>
      <c r="E113" s="658">
        <f t="shared" si="37"/>
        <v>0</v>
      </c>
      <c r="F113" s="658">
        <f t="shared" si="37"/>
        <v>0</v>
      </c>
      <c r="G113" s="658">
        <f t="shared" si="37"/>
        <v>0</v>
      </c>
      <c r="H113" s="658">
        <f t="shared" si="37"/>
        <v>0</v>
      </c>
    </row>
    <row r="114" spans="1:9" x14ac:dyDescent="0.2">
      <c r="A114" s="658" t="str">
        <f t="shared" si="35"/>
        <v>Chilli</v>
      </c>
      <c r="B114" s="658">
        <f t="shared" si="39"/>
        <v>0</v>
      </c>
      <c r="C114" s="658">
        <f t="shared" si="37"/>
        <v>0</v>
      </c>
      <c r="D114" s="658">
        <f t="shared" si="37"/>
        <v>0</v>
      </c>
      <c r="E114" s="658">
        <f t="shared" si="37"/>
        <v>0</v>
      </c>
      <c r="F114" s="658">
        <f t="shared" si="37"/>
        <v>0</v>
      </c>
      <c r="G114" s="658">
        <f t="shared" si="37"/>
        <v>0</v>
      </c>
      <c r="H114" s="658">
        <f t="shared" si="37"/>
        <v>0</v>
      </c>
    </row>
    <row r="115" spans="1:9" x14ac:dyDescent="0.2">
      <c r="A115" s="658" t="str">
        <f t="shared" si="35"/>
        <v>Brinjal</v>
      </c>
      <c r="B115" s="658">
        <f t="shared" si="39"/>
        <v>0</v>
      </c>
      <c r="C115" s="658">
        <f t="shared" si="37"/>
        <v>0</v>
      </c>
      <c r="D115" s="658">
        <f t="shared" si="37"/>
        <v>0</v>
      </c>
      <c r="E115" s="658">
        <f t="shared" si="37"/>
        <v>0</v>
      </c>
      <c r="F115" s="658">
        <f t="shared" si="37"/>
        <v>0</v>
      </c>
      <c r="G115" s="658">
        <f t="shared" si="37"/>
        <v>0</v>
      </c>
      <c r="H115" s="658">
        <f t="shared" si="37"/>
        <v>0</v>
      </c>
    </row>
    <row r="116" spans="1:9" x14ac:dyDescent="0.2">
      <c r="A116" s="658">
        <f t="shared" si="35"/>
        <v>0</v>
      </c>
      <c r="B116" s="658">
        <f t="shared" si="39"/>
        <v>0</v>
      </c>
      <c r="C116" s="658">
        <f t="shared" si="37"/>
        <v>0</v>
      </c>
      <c r="D116" s="658">
        <f t="shared" si="37"/>
        <v>0</v>
      </c>
      <c r="E116" s="658">
        <f t="shared" si="37"/>
        <v>0</v>
      </c>
      <c r="F116" s="658">
        <f t="shared" si="37"/>
        <v>0</v>
      </c>
      <c r="G116" s="658">
        <f t="shared" si="37"/>
        <v>0</v>
      </c>
      <c r="H116" s="658">
        <f t="shared" si="37"/>
        <v>0</v>
      </c>
    </row>
    <row r="117" spans="1:9" x14ac:dyDescent="0.2">
      <c r="A117" s="658">
        <f t="shared" si="35"/>
        <v>0</v>
      </c>
      <c r="B117" s="658">
        <f t="shared" si="39"/>
        <v>0</v>
      </c>
      <c r="C117" s="658">
        <f t="shared" si="37"/>
        <v>0</v>
      </c>
      <c r="D117" s="658">
        <f t="shared" si="37"/>
        <v>0</v>
      </c>
      <c r="E117" s="658">
        <f t="shared" si="37"/>
        <v>0</v>
      </c>
      <c r="F117" s="658">
        <f t="shared" si="37"/>
        <v>0</v>
      </c>
      <c r="G117" s="658">
        <f t="shared" si="37"/>
        <v>0</v>
      </c>
      <c r="H117" s="658">
        <f t="shared" si="37"/>
        <v>0</v>
      </c>
    </row>
    <row r="118" spans="1:9" x14ac:dyDescent="0.2">
      <c r="A118" s="658">
        <f t="shared" si="35"/>
        <v>0</v>
      </c>
      <c r="B118" s="658">
        <f t="shared" si="39"/>
        <v>0</v>
      </c>
      <c r="C118" s="658">
        <f t="shared" ref="C118:H126" si="40">(B118/B$100)*C$100</f>
        <v>0</v>
      </c>
      <c r="D118" s="658">
        <f t="shared" si="40"/>
        <v>0</v>
      </c>
      <c r="E118" s="658">
        <f t="shared" si="40"/>
        <v>0</v>
      </c>
      <c r="F118" s="658">
        <f t="shared" si="40"/>
        <v>0</v>
      </c>
      <c r="G118" s="658">
        <f t="shared" si="40"/>
        <v>0</v>
      </c>
      <c r="H118" s="658">
        <f t="shared" si="40"/>
        <v>0</v>
      </c>
    </row>
    <row r="119" spans="1:9" x14ac:dyDescent="0.2">
      <c r="A119" s="658">
        <f t="shared" si="35"/>
        <v>0</v>
      </c>
      <c r="B119" s="658">
        <f t="shared" ref="B119:B126" si="41">D33*$B$100</f>
        <v>0</v>
      </c>
      <c r="C119" s="658">
        <f t="shared" si="40"/>
        <v>0</v>
      </c>
      <c r="D119" s="658">
        <f t="shared" si="40"/>
        <v>0</v>
      </c>
      <c r="E119" s="658">
        <f t="shared" si="40"/>
        <v>0</v>
      </c>
      <c r="F119" s="658">
        <f t="shared" si="40"/>
        <v>0</v>
      </c>
      <c r="G119" s="658">
        <f t="shared" si="40"/>
        <v>0</v>
      </c>
      <c r="H119" s="658">
        <f t="shared" si="40"/>
        <v>0</v>
      </c>
    </row>
    <row r="120" spans="1:9" x14ac:dyDescent="0.2">
      <c r="A120" s="658">
        <f t="shared" si="35"/>
        <v>0</v>
      </c>
      <c r="B120" s="658">
        <f t="shared" si="41"/>
        <v>0</v>
      </c>
      <c r="C120" s="658">
        <f t="shared" si="40"/>
        <v>0</v>
      </c>
      <c r="D120" s="658">
        <f t="shared" si="40"/>
        <v>0</v>
      </c>
      <c r="E120" s="658">
        <f t="shared" si="40"/>
        <v>0</v>
      </c>
      <c r="F120" s="658">
        <f t="shared" si="40"/>
        <v>0</v>
      </c>
      <c r="G120" s="658">
        <f t="shared" si="40"/>
        <v>0</v>
      </c>
      <c r="H120" s="658">
        <f t="shared" si="40"/>
        <v>0</v>
      </c>
    </row>
    <row r="121" spans="1:9" x14ac:dyDescent="0.2">
      <c r="A121" s="658">
        <f t="shared" si="35"/>
        <v>0</v>
      </c>
      <c r="B121" s="658">
        <f t="shared" si="41"/>
        <v>0</v>
      </c>
      <c r="C121" s="658">
        <f t="shared" si="40"/>
        <v>0</v>
      </c>
      <c r="D121" s="658">
        <f t="shared" si="40"/>
        <v>0</v>
      </c>
      <c r="E121" s="658">
        <f t="shared" si="40"/>
        <v>0</v>
      </c>
      <c r="F121" s="658">
        <f t="shared" si="40"/>
        <v>0</v>
      </c>
      <c r="G121" s="658">
        <f t="shared" si="40"/>
        <v>0</v>
      </c>
      <c r="H121" s="658">
        <f t="shared" si="40"/>
        <v>0</v>
      </c>
    </row>
    <row r="122" spans="1:9" x14ac:dyDescent="0.2">
      <c r="A122" s="658">
        <f t="shared" si="35"/>
        <v>0</v>
      </c>
      <c r="B122" s="658">
        <f t="shared" si="41"/>
        <v>0</v>
      </c>
      <c r="C122" s="658">
        <f t="shared" si="40"/>
        <v>0</v>
      </c>
      <c r="D122" s="658">
        <f t="shared" si="40"/>
        <v>0</v>
      </c>
      <c r="E122" s="658">
        <f t="shared" si="40"/>
        <v>0</v>
      </c>
      <c r="F122" s="658">
        <f t="shared" si="40"/>
        <v>0</v>
      </c>
      <c r="G122" s="658">
        <f t="shared" si="40"/>
        <v>0</v>
      </c>
      <c r="H122" s="658">
        <f t="shared" si="40"/>
        <v>0</v>
      </c>
    </row>
    <row r="123" spans="1:9" x14ac:dyDescent="0.2">
      <c r="A123" s="658" t="str">
        <f t="shared" si="35"/>
        <v>Pomegranate</v>
      </c>
      <c r="B123" s="658">
        <f t="shared" si="41"/>
        <v>0</v>
      </c>
      <c r="C123" s="658">
        <f t="shared" si="40"/>
        <v>0</v>
      </c>
      <c r="D123" s="658">
        <f t="shared" si="40"/>
        <v>0</v>
      </c>
      <c r="E123" s="658">
        <f t="shared" si="40"/>
        <v>0</v>
      </c>
      <c r="F123" s="658">
        <f t="shared" si="40"/>
        <v>0</v>
      </c>
      <c r="G123" s="658">
        <f t="shared" si="40"/>
        <v>0</v>
      </c>
      <c r="H123" s="658">
        <f t="shared" si="40"/>
        <v>0</v>
      </c>
    </row>
    <row r="124" spans="1:9" x14ac:dyDescent="0.2">
      <c r="A124" s="658" t="str">
        <f t="shared" si="35"/>
        <v>Custard Apple</v>
      </c>
      <c r="B124" s="658">
        <f t="shared" si="41"/>
        <v>0</v>
      </c>
      <c r="C124" s="658">
        <f t="shared" si="40"/>
        <v>0</v>
      </c>
      <c r="D124" s="658">
        <f t="shared" si="40"/>
        <v>0</v>
      </c>
      <c r="E124" s="658">
        <f t="shared" si="40"/>
        <v>0</v>
      </c>
      <c r="F124" s="658">
        <f t="shared" si="40"/>
        <v>0</v>
      </c>
      <c r="G124" s="658">
        <f t="shared" si="40"/>
        <v>0</v>
      </c>
      <c r="H124" s="658">
        <f t="shared" si="40"/>
        <v>0</v>
      </c>
    </row>
    <row r="125" spans="1:9" x14ac:dyDescent="0.2">
      <c r="A125" s="658" t="str">
        <f t="shared" si="35"/>
        <v>Guava</v>
      </c>
      <c r="B125" s="658">
        <f t="shared" si="41"/>
        <v>0</v>
      </c>
      <c r="C125" s="658">
        <f t="shared" si="40"/>
        <v>0</v>
      </c>
      <c r="D125" s="658">
        <f t="shared" si="40"/>
        <v>0</v>
      </c>
      <c r="E125" s="658">
        <f t="shared" si="40"/>
        <v>0</v>
      </c>
      <c r="F125" s="658">
        <f t="shared" si="40"/>
        <v>0</v>
      </c>
      <c r="G125" s="658">
        <f t="shared" si="40"/>
        <v>0</v>
      </c>
      <c r="H125" s="658">
        <f t="shared" si="40"/>
        <v>0</v>
      </c>
    </row>
    <row r="126" spans="1:9" x14ac:dyDescent="0.2">
      <c r="A126" s="658" t="str">
        <f t="shared" si="35"/>
        <v>Citrus</v>
      </c>
      <c r="B126" s="658">
        <f t="shared" si="41"/>
        <v>0</v>
      </c>
      <c r="C126" s="658">
        <f t="shared" si="40"/>
        <v>0</v>
      </c>
      <c r="D126" s="658">
        <f t="shared" si="40"/>
        <v>0</v>
      </c>
      <c r="E126" s="658">
        <f t="shared" si="40"/>
        <v>0</v>
      </c>
      <c r="F126" s="658">
        <f t="shared" si="40"/>
        <v>0</v>
      </c>
      <c r="G126" s="658">
        <f t="shared" si="40"/>
        <v>0</v>
      </c>
      <c r="H126" s="658">
        <f t="shared" si="40"/>
        <v>0</v>
      </c>
    </row>
    <row r="128" spans="1:9" x14ac:dyDescent="0.2">
      <c r="C128" s="654"/>
      <c r="D128" s="666"/>
      <c r="E128" s="666"/>
      <c r="F128" s="666"/>
      <c r="G128" s="666"/>
      <c r="H128" s="666"/>
      <c r="I128" s="666"/>
    </row>
    <row r="129" spans="1:9" x14ac:dyDescent="0.2">
      <c r="A129" s="653" t="s">
        <v>492</v>
      </c>
      <c r="C129" s="679"/>
      <c r="D129" s="679"/>
      <c r="E129" s="679"/>
      <c r="F129" s="679"/>
      <c r="G129" s="679"/>
      <c r="H129" s="679"/>
      <c r="I129" s="679"/>
    </row>
    <row r="130" spans="1:9" x14ac:dyDescent="0.2">
      <c r="A130" s="653">
        <v>1</v>
      </c>
      <c r="B130" s="653" t="s">
        <v>493</v>
      </c>
    </row>
    <row r="131" spans="1:9" x14ac:dyDescent="0.2">
      <c r="A131" s="653">
        <v>2</v>
      </c>
      <c r="B131" s="653" t="s">
        <v>494</v>
      </c>
    </row>
    <row r="132" spans="1:9" x14ac:dyDescent="0.2">
      <c r="A132" s="653">
        <v>3</v>
      </c>
      <c r="B132" s="653" t="s">
        <v>495</v>
      </c>
    </row>
  </sheetData>
  <mergeCells count="13">
    <mergeCell ref="A71:H71"/>
    <mergeCell ref="A72:A73"/>
    <mergeCell ref="A99:H99"/>
    <mergeCell ref="A100:A101"/>
    <mergeCell ref="A1:H1"/>
    <mergeCell ref="A3:B3"/>
    <mergeCell ref="A11:H11"/>
    <mergeCell ref="A14:A22"/>
    <mergeCell ref="A24:A31"/>
    <mergeCell ref="A37:A40"/>
    <mergeCell ref="A41:H41"/>
    <mergeCell ref="A43:H43"/>
    <mergeCell ref="A44:A45"/>
  </mergeCells>
  <pageMargins left="0.7" right="0.7" top="0.75" bottom="0.75" header="0.3" footer="0.3"/>
  <pageSetup scale="52" orientation="portrait" r:id="rId1"/>
  <rowBreaks count="1" manualBreakCount="1">
    <brk id="63" max="7" man="1"/>
  </rowBreaks>
  <colBreaks count="1" manualBreakCount="1">
    <brk id="8" max="113" man="1"/>
  </colBreaks>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11.F&amp;V Crop Production details</vt:lpstr>
      <vt:lpstr>8.Cash Flow </vt:lpstr>
      <vt:lpstr>9. Financial indiacators</vt:lpstr>
      <vt:lpstr>10.Grain Production details.</vt:lpstr>
      <vt:lpstr>12.Facility 1 - Trading</vt:lpstr>
      <vt:lpstr>17.Facility 6 Horti Processing </vt:lpstr>
      <vt:lpstr>14. Facility 3 Warehouse</vt:lpstr>
      <vt:lpstr>15. Facility 4 Custom Hiring</vt:lpstr>
      <vt:lpstr>16.Facility 5 Agri Input</vt:lpstr>
      <vt:lpstr>13.Facility 2 Grain Processing-</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2022-11-18T16:45:06Z</dcterms:modified>
</cp:coreProperties>
</file>